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timphillips/Desktop/Tim's Files/Real Estate Info/"/>
    </mc:Choice>
  </mc:AlternateContent>
  <xr:revisionPtr revIDLastSave="0" documentId="13_ncr:1_{C950C83C-1FE3-D145-AB6C-CF4552D21F99}" xr6:coauthVersionLast="46" xr6:coauthVersionMax="46" xr10:uidLastSave="{00000000-0000-0000-0000-000000000000}"/>
  <bookViews>
    <workbookView xWindow="480" yWindow="500" windowWidth="28040" windowHeight="16380" activeTab="1" xr2:uid="{79B1A608-47AC-D246-8A6E-0419B373A91B}"/>
  </bookViews>
  <sheets>
    <sheet name="Rental Property Analysis" sheetId="4" r:id="rId1"/>
    <sheet name="Printable Property Analysis" sheetId="9" r:id="rId2"/>
  </sheets>
  <definedNames>
    <definedName name="TotalMonthlyExpenses">#REF!</definedName>
    <definedName name="TotalMonthlyIncome">#REF!</definedName>
  </definedNames>
  <calcPr calcId="191029" calcMode="autoNoTabl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4" l="1"/>
  <c r="C26" i="9" s="1"/>
  <c r="D54" i="4"/>
  <c r="E25" i="4"/>
  <c r="E40" i="4" s="1"/>
  <c r="F40" i="4" s="1"/>
  <c r="D9" i="4"/>
  <c r="P38" i="4" s="1"/>
  <c r="D52" i="4" s="1"/>
  <c r="C21" i="9"/>
  <c r="C20" i="9"/>
  <c r="C19" i="9"/>
  <c r="C18" i="9"/>
  <c r="C17" i="9"/>
  <c r="C16" i="9"/>
  <c r="C15" i="9"/>
  <c r="B22" i="9"/>
  <c r="B21" i="9"/>
  <c r="B20" i="9"/>
  <c r="B19" i="9"/>
  <c r="B18" i="9"/>
  <c r="B17" i="9"/>
  <c r="B16" i="9"/>
  <c r="B15" i="9"/>
  <c r="C58" i="9"/>
  <c r="C57" i="9"/>
  <c r="C59" i="9" s="1"/>
  <c r="E35" i="4"/>
  <c r="C47" i="9" s="1"/>
  <c r="F35" i="4"/>
  <c r="E32" i="4"/>
  <c r="C44" i="9" s="1"/>
  <c r="O10" i="4"/>
  <c r="P10" i="4" s="1"/>
  <c r="O9" i="4"/>
  <c r="P9" i="4" s="1"/>
  <c r="D55" i="4"/>
  <c r="D60" i="4"/>
  <c r="E60" i="4" s="1"/>
  <c r="C35" i="9"/>
  <c r="C34" i="9"/>
  <c r="C33" i="9"/>
  <c r="C27" i="9"/>
  <c r="C25" i="9"/>
  <c r="C3" i="9"/>
  <c r="B2" i="9"/>
  <c r="D69" i="4"/>
  <c r="E69" i="4" s="1"/>
  <c r="D70" i="4"/>
  <c r="E70" i="4" s="1"/>
  <c r="D68" i="4"/>
  <c r="E68" i="4" s="1"/>
  <c r="D67" i="4"/>
  <c r="E67" i="4" s="1"/>
  <c r="D66" i="4"/>
  <c r="E66" i="4" s="1"/>
  <c r="D65" i="4"/>
  <c r="E65" i="4" s="1"/>
  <c r="D64" i="4"/>
  <c r="E64" i="4" s="1"/>
  <c r="D63" i="4"/>
  <c r="E63" i="4" s="1"/>
  <c r="D62" i="4"/>
  <c r="E62" i="4" s="1"/>
  <c r="D61" i="4"/>
  <c r="E61" i="4" s="1"/>
  <c r="S5" i="4"/>
  <c r="S10" i="4" s="1"/>
  <c r="R5" i="4"/>
  <c r="U5" i="4" s="1"/>
  <c r="Q5" i="4"/>
  <c r="S4" i="4"/>
  <c r="R4" i="4"/>
  <c r="V4" i="4" s="1"/>
  <c r="Q4" i="4"/>
  <c r="U10" i="4" l="1"/>
  <c r="O23" i="4"/>
  <c r="P23" i="4" s="1"/>
  <c r="R23" i="4" s="1"/>
  <c r="F25" i="4"/>
  <c r="D11" i="4"/>
  <c r="C6" i="9" s="1"/>
  <c r="V9" i="4"/>
  <c r="O21" i="4"/>
  <c r="P21" i="4" s="1"/>
  <c r="R21" i="4" s="1"/>
  <c r="C52" i="9"/>
  <c r="P44" i="4"/>
  <c r="R38" i="4"/>
  <c r="Q38" i="4"/>
  <c r="T21" i="4"/>
  <c r="S21" i="4"/>
  <c r="V23" i="4"/>
  <c r="U23" i="4"/>
  <c r="T23" i="4"/>
  <c r="Q23" i="4"/>
  <c r="S23" i="4"/>
  <c r="Q9" i="4"/>
  <c r="R9" i="4"/>
  <c r="U9" i="4"/>
  <c r="R10" i="4"/>
  <c r="F32" i="4"/>
  <c r="O11" i="4"/>
  <c r="C10" i="9"/>
  <c r="C7" i="9"/>
  <c r="C32" i="9"/>
  <c r="C31" i="9"/>
  <c r="D49" i="4"/>
  <c r="C28" i="9"/>
  <c r="Q10" i="4"/>
  <c r="V5" i="4"/>
  <c r="V10" i="4" s="1"/>
  <c r="T4" i="4"/>
  <c r="T9" i="4" s="1"/>
  <c r="U4" i="4"/>
  <c r="T5" i="4"/>
  <c r="T10" i="4" s="1"/>
  <c r="J12" i="4"/>
  <c r="E28" i="4"/>
  <c r="E37" i="4"/>
  <c r="E34" i="4"/>
  <c r="E36" i="4"/>
  <c r="E29" i="4"/>
  <c r="C41" i="9" s="1"/>
  <c r="E30" i="4"/>
  <c r="O19" i="4" l="1"/>
  <c r="P19" i="4" s="1"/>
  <c r="C42" i="9"/>
  <c r="Q21" i="4"/>
  <c r="V21" i="4"/>
  <c r="F14" i="4"/>
  <c r="E14" i="4" s="1"/>
  <c r="E11" i="4"/>
  <c r="U21" i="4"/>
  <c r="C48" i="9"/>
  <c r="O25" i="4"/>
  <c r="P25" i="4" s="1"/>
  <c r="V25" i="4" s="1"/>
  <c r="P45" i="4"/>
  <c r="O26" i="4"/>
  <c r="P26" i="4" s="1"/>
  <c r="C49" i="9"/>
  <c r="C46" i="9"/>
  <c r="O24" i="4"/>
  <c r="P24" i="4" s="1"/>
  <c r="Q44" i="4"/>
  <c r="Q45" i="4" s="1"/>
  <c r="R44" i="4"/>
  <c r="F36" i="4"/>
  <c r="O14" i="4"/>
  <c r="P14" i="4" s="1"/>
  <c r="C40" i="9"/>
  <c r="C8" i="9"/>
  <c r="U38" i="4"/>
  <c r="T38" i="4"/>
  <c r="F11" i="9"/>
  <c r="V38" i="4"/>
  <c r="S38" i="4"/>
  <c r="F37" i="4"/>
  <c r="O15" i="4"/>
  <c r="P15" i="4" s="1"/>
  <c r="T15" i="4" s="1"/>
  <c r="F34" i="4"/>
  <c r="F28" i="4"/>
  <c r="E38" i="4"/>
  <c r="C50" i="9" s="1"/>
  <c r="F29" i="4"/>
  <c r="F30" i="4"/>
  <c r="E31" i="4"/>
  <c r="O20" i="4" s="1"/>
  <c r="P20" i="4" s="1"/>
  <c r="E33" i="4"/>
  <c r="E39" i="4"/>
  <c r="C51" i="9" s="1"/>
  <c r="E41" i="4"/>
  <c r="E47" i="4" l="1"/>
  <c r="C38" i="9"/>
  <c r="U25" i="4"/>
  <c r="S25" i="4"/>
  <c r="R25" i="4"/>
  <c r="Q25" i="4"/>
  <c r="T25" i="4"/>
  <c r="O22" i="4"/>
  <c r="P22" i="4" s="1"/>
  <c r="C45" i="9"/>
  <c r="E43" i="4"/>
  <c r="E46" i="4" s="1"/>
  <c r="T19" i="4"/>
  <c r="S19" i="4"/>
  <c r="Q19" i="4"/>
  <c r="U19" i="4"/>
  <c r="V19" i="4"/>
  <c r="R19" i="4"/>
  <c r="R26" i="4"/>
  <c r="S26" i="4"/>
  <c r="V26" i="4"/>
  <c r="U26" i="4"/>
  <c r="Q26" i="4"/>
  <c r="T26" i="4"/>
  <c r="V24" i="4"/>
  <c r="U24" i="4"/>
  <c r="T24" i="4"/>
  <c r="S24" i="4"/>
  <c r="R24" i="4"/>
  <c r="Q24" i="4"/>
  <c r="U20" i="4"/>
  <c r="R20" i="4"/>
  <c r="Q20" i="4"/>
  <c r="T20" i="4"/>
  <c r="S20" i="4"/>
  <c r="V20" i="4"/>
  <c r="C53" i="9"/>
  <c r="O27" i="4"/>
  <c r="P27" i="4" s="1"/>
  <c r="Q14" i="4"/>
  <c r="R14" i="4"/>
  <c r="C43" i="9"/>
  <c r="F38" i="4"/>
  <c r="T14" i="4"/>
  <c r="F41" i="4"/>
  <c r="R15" i="4"/>
  <c r="Q15" i="4"/>
  <c r="S15" i="4"/>
  <c r="O18" i="4"/>
  <c r="P18" i="4" s="1"/>
  <c r="Q18" i="4" s="1"/>
  <c r="U15" i="4"/>
  <c r="F39" i="4"/>
  <c r="O17" i="4"/>
  <c r="P17" i="4" s="1"/>
  <c r="R17" i="4" s="1"/>
  <c r="V15" i="4"/>
  <c r="O16" i="4"/>
  <c r="V14" i="4"/>
  <c r="U14" i="4"/>
  <c r="S14" i="4"/>
  <c r="P11" i="4"/>
  <c r="F31" i="4"/>
  <c r="F33" i="4"/>
  <c r="Q22" i="4" l="1"/>
  <c r="R22" i="4"/>
  <c r="V22" i="4"/>
  <c r="U22" i="4"/>
  <c r="S22" i="4"/>
  <c r="T22" i="4"/>
  <c r="S27" i="4"/>
  <c r="Q27" i="4"/>
  <c r="T27" i="4"/>
  <c r="U27" i="4"/>
  <c r="V27" i="4"/>
  <c r="R27" i="4"/>
  <c r="F43" i="4"/>
  <c r="F46" i="4" s="1"/>
  <c r="D50" i="4" s="1"/>
  <c r="O28" i="4"/>
  <c r="F60" i="4"/>
  <c r="G60" i="4" s="1"/>
  <c r="O34" i="4"/>
  <c r="C39" i="9"/>
  <c r="C54" i="9" s="1"/>
  <c r="O35" i="4"/>
  <c r="P35" i="4" s="1"/>
  <c r="F62" i="4"/>
  <c r="G62" i="4" s="1"/>
  <c r="F61" i="4"/>
  <c r="G61" i="4" s="1"/>
  <c r="F67" i="4"/>
  <c r="G67" i="4" s="1"/>
  <c r="F69" i="4"/>
  <c r="G69" i="4" s="1"/>
  <c r="F65" i="4"/>
  <c r="G65" i="4" s="1"/>
  <c r="F64" i="4"/>
  <c r="G64" i="4" s="1"/>
  <c r="F66" i="4"/>
  <c r="G66" i="4" s="1"/>
  <c r="F68" i="4"/>
  <c r="G68" i="4" s="1"/>
  <c r="F70" i="4"/>
  <c r="G70" i="4" s="1"/>
  <c r="F63" i="4"/>
  <c r="G63" i="4" s="1"/>
  <c r="P16" i="4"/>
  <c r="R18" i="4"/>
  <c r="V17" i="4"/>
  <c r="S17" i="4"/>
  <c r="V18" i="4"/>
  <c r="T18" i="4"/>
  <c r="U17" i="4"/>
  <c r="Q17" i="4"/>
  <c r="U18" i="4"/>
  <c r="T17" i="4"/>
  <c r="S18" i="4"/>
  <c r="Q11" i="4"/>
  <c r="T11" i="4"/>
  <c r="S9" i="4"/>
  <c r="S11" i="4" s="1"/>
  <c r="R11" i="4"/>
  <c r="U11" i="4"/>
  <c r="V11" i="4"/>
  <c r="F11" i="4"/>
  <c r="F47" i="4" s="1"/>
  <c r="O36" i="4" l="1"/>
  <c r="C11" i="9"/>
  <c r="C12" i="9" s="1"/>
  <c r="F6" i="9"/>
  <c r="F10" i="9"/>
  <c r="P34" i="4"/>
  <c r="P42" i="4" s="1"/>
  <c r="E48" i="4"/>
  <c r="V16" i="4"/>
  <c r="F48" i="4"/>
  <c r="D48" i="4" s="1"/>
  <c r="P36" i="4" l="1"/>
  <c r="D53" i="4"/>
  <c r="F7" i="9" s="1"/>
  <c r="F8" i="9"/>
  <c r="D51" i="4"/>
  <c r="S44" i="4"/>
  <c r="S45" i="4" s="1"/>
  <c r="R45" i="4"/>
  <c r="U16" i="4"/>
  <c r="Q16" i="4"/>
  <c r="R16" i="4"/>
  <c r="S16" i="4"/>
  <c r="T16" i="4"/>
  <c r="F12" i="9" l="1"/>
  <c r="Q35" i="4"/>
  <c r="T44" i="4"/>
  <c r="T45" i="4" s="1"/>
  <c r="R35" i="4" l="1"/>
  <c r="S35" i="4" s="1"/>
  <c r="T35" i="4" s="1"/>
  <c r="U35" i="4" s="1"/>
  <c r="V35" i="4" s="1"/>
  <c r="P39" i="4"/>
  <c r="P40" i="4" s="1"/>
  <c r="P37" i="4"/>
  <c r="P28" i="4"/>
  <c r="P31" i="4" s="1"/>
  <c r="S28" i="4"/>
  <c r="S29" i="4" s="1"/>
  <c r="Q28" i="4"/>
  <c r="T28" i="4"/>
  <c r="T29" i="4" s="1"/>
  <c r="U28" i="4"/>
  <c r="U29" i="4" s="1"/>
  <c r="V28" i="4"/>
  <c r="V29" i="4" s="1"/>
  <c r="R28" i="4"/>
  <c r="R29" i="4" s="1"/>
  <c r="U44" i="4"/>
  <c r="U45" i="4" s="1"/>
  <c r="Q29" i="4" l="1"/>
  <c r="Q31" i="4"/>
  <c r="Q34" i="4" s="1"/>
  <c r="P29" i="4"/>
  <c r="V44" i="4"/>
  <c r="V45" i="4" s="1"/>
  <c r="V31" i="4"/>
  <c r="V34" i="4" s="1"/>
  <c r="R31" i="4"/>
  <c r="R34" i="4" s="1"/>
  <c r="R42" i="4" s="1"/>
  <c r="S31" i="4"/>
  <c r="S34" i="4" s="1"/>
  <c r="U31" i="4"/>
  <c r="U34" i="4" s="1"/>
  <c r="T31" i="4"/>
  <c r="T34" i="4" s="1"/>
  <c r="U36" i="4" l="1"/>
  <c r="U37" i="4" s="1"/>
  <c r="U42" i="4"/>
  <c r="Q36" i="4"/>
  <c r="Q37" i="4" s="1"/>
  <c r="Q42" i="4"/>
  <c r="V36" i="4"/>
  <c r="V37" i="4" s="1"/>
  <c r="V42" i="4"/>
  <c r="T36" i="4"/>
  <c r="T37" i="4" s="1"/>
  <c r="T42" i="4"/>
  <c r="S36" i="4"/>
  <c r="S37" i="4" s="1"/>
  <c r="S42" i="4"/>
  <c r="R36" i="4"/>
  <c r="R37" i="4" s="1"/>
  <c r="V39" i="4" l="1"/>
  <c r="V40" i="4" s="1"/>
  <c r="U39" i="4"/>
  <c r="U40" i="4" s="1"/>
  <c r="S39" i="4"/>
  <c r="S40" i="4" s="1"/>
  <c r="T39" i="4"/>
  <c r="T40" i="4" s="1"/>
  <c r="R39" i="4"/>
  <c r="R40" i="4" s="1"/>
  <c r="Q39" i="4"/>
  <c r="Q4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Phillips</author>
    <author/>
  </authors>
  <commentList>
    <comment ref="B8" authorId="0" shapeId="0" xr:uid="{89C66276-9835-DB42-972C-7A3F19E4CC3E}">
      <text>
        <r>
          <rPr>
            <b/>
            <sz val="10"/>
            <color rgb="FF000000"/>
            <rFont val="Tahoma"/>
            <family val="2"/>
          </rPr>
          <t>Tim Phillips:</t>
        </r>
        <r>
          <rPr>
            <sz val="10"/>
            <color rgb="FF000000"/>
            <rFont val="Tahoma"/>
            <family val="2"/>
          </rPr>
          <t xml:space="preserve">
</t>
        </r>
        <r>
          <rPr>
            <sz val="10"/>
            <color rgb="FF000000"/>
            <rFont val="Tahoma"/>
            <family val="2"/>
          </rPr>
          <t>Add the property purchase price.</t>
        </r>
      </text>
    </comment>
    <comment ref="I9" authorId="0" shapeId="0" xr:uid="{631D6E30-6996-4147-9C4C-ED6DB15DB59E}">
      <text>
        <r>
          <rPr>
            <b/>
            <sz val="10"/>
            <color rgb="FF000000"/>
            <rFont val="Tahoma"/>
            <family val="2"/>
          </rPr>
          <t>Tim Phillips:</t>
        </r>
        <r>
          <rPr>
            <sz val="10"/>
            <color rgb="FF000000"/>
            <rFont val="Tahoma"/>
            <family val="2"/>
          </rPr>
          <t xml:space="preserve">
</t>
        </r>
        <r>
          <rPr>
            <sz val="10"/>
            <color rgb="FF000000"/>
            <rFont val="Tahoma"/>
            <family val="2"/>
          </rPr>
          <t>Add any important info about the property that makes it special.</t>
        </r>
      </text>
    </comment>
    <comment ref="B10" authorId="0" shapeId="0" xr:uid="{D07F6564-E9B2-7147-B3E7-DAC5E4D4A8D1}">
      <text>
        <r>
          <rPr>
            <b/>
            <sz val="10"/>
            <color rgb="FF000000"/>
            <rFont val="Tahoma"/>
            <family val="2"/>
          </rPr>
          <t>Tim Phillips:</t>
        </r>
        <r>
          <rPr>
            <sz val="10"/>
            <color rgb="FF000000"/>
            <rFont val="Tahoma"/>
            <family val="2"/>
          </rPr>
          <t xml:space="preserve">
</t>
        </r>
        <r>
          <rPr>
            <sz val="10"/>
            <color rgb="FF000000"/>
            <rFont val="Calibri"/>
            <family val="2"/>
            <scheme val="minor"/>
          </rPr>
          <t>Change down payment percentage based on amount that will be payed.</t>
        </r>
        <r>
          <rPr>
            <sz val="10"/>
            <color rgb="FF000000"/>
            <rFont val="Calibri"/>
            <family val="2"/>
            <scheme val="minor"/>
          </rPr>
          <t xml:space="preserve">
</t>
        </r>
      </text>
    </comment>
    <comment ref="B12" authorId="0" shapeId="0" xr:uid="{5F0007D1-45E1-D341-88C1-C9DADB7113DB}">
      <text>
        <r>
          <rPr>
            <b/>
            <sz val="10"/>
            <color rgb="FF000000"/>
            <rFont val="Tahoma"/>
            <family val="2"/>
          </rPr>
          <t>Tim Phillips:</t>
        </r>
        <r>
          <rPr>
            <sz val="10"/>
            <color rgb="FF000000"/>
            <rFont val="Tahoma"/>
            <family val="2"/>
          </rPr>
          <t xml:space="preserve">
</t>
        </r>
        <r>
          <rPr>
            <sz val="10"/>
            <color rgb="FF000000"/>
            <rFont val="Calibri"/>
            <family val="2"/>
          </rPr>
          <t>Typical closing costs are around 1%-3% of the purchase price of the property but can differ depending on location and financing. If unsure, 3% of the purchase price is a good number to begin with. Keep in mind, typically this 1-3% does not include points charged by the lender for obtaining your loan.</t>
        </r>
      </text>
    </comment>
    <comment ref="I12" authorId="0" shapeId="0" xr:uid="{1602D677-9069-9E4A-98EE-27AC84DCF32B}">
      <text>
        <r>
          <rPr>
            <b/>
            <sz val="10"/>
            <color rgb="FF000000"/>
            <rFont val="Tahoma"/>
            <family val="2"/>
          </rPr>
          <t>Tim Phillips:</t>
        </r>
        <r>
          <rPr>
            <sz val="10"/>
            <color rgb="FF000000"/>
            <rFont val="Tahoma"/>
            <family val="2"/>
          </rPr>
          <t xml:space="preserve">
</t>
        </r>
        <r>
          <rPr>
            <sz val="10"/>
            <color rgb="FF000000"/>
            <rFont val="Tahoma"/>
            <family val="2"/>
          </rPr>
          <t>Make sure to update based on the current market value.</t>
        </r>
      </text>
    </comment>
    <comment ref="B13" authorId="0" shapeId="0" xr:uid="{FC1B4A4D-E9D6-8941-B51F-6F6458686323}">
      <text>
        <r>
          <rPr>
            <b/>
            <sz val="10"/>
            <color rgb="FF000000"/>
            <rFont val="Tahoma"/>
            <family val="2"/>
          </rPr>
          <t>Tim Phillips:</t>
        </r>
        <r>
          <rPr>
            <sz val="10"/>
            <color rgb="FF000000"/>
            <rFont val="Tahoma"/>
            <family val="2"/>
          </rPr>
          <t xml:space="preserve">
</t>
        </r>
        <r>
          <rPr>
            <sz val="10"/>
            <color rgb="FF000000"/>
            <rFont val="Tahoma"/>
            <family val="2"/>
          </rPr>
          <t>Add the interest rate on the mortgage.</t>
        </r>
      </text>
    </comment>
    <comment ref="I13" authorId="0" shapeId="0" xr:uid="{74C54506-0BA7-DD41-BFCA-979BFC59A63A}">
      <text>
        <r>
          <rPr>
            <b/>
            <sz val="10"/>
            <color rgb="FF000000"/>
            <rFont val="Tahoma"/>
            <family val="2"/>
          </rPr>
          <t>Tim Phillips:</t>
        </r>
        <r>
          <rPr>
            <sz val="10"/>
            <color rgb="FF000000"/>
            <rFont val="Tahoma"/>
            <family val="2"/>
          </rPr>
          <t xml:space="preserve">
</t>
        </r>
        <r>
          <rPr>
            <sz val="10"/>
            <color rgb="FF000000"/>
            <rFont val="Tahoma"/>
            <family val="2"/>
          </rPr>
          <t>Make sure to update based on how much is remaining on the loan.</t>
        </r>
      </text>
    </comment>
    <comment ref="B14" authorId="0" shapeId="0" xr:uid="{DDC0401E-B2AE-884C-B0CD-D85A27EB150B}">
      <text>
        <r>
          <rPr>
            <b/>
            <sz val="10"/>
            <color rgb="FF000000"/>
            <rFont val="Tahoma"/>
            <family val="2"/>
          </rPr>
          <t>Tim Phillips:</t>
        </r>
        <r>
          <rPr>
            <sz val="10"/>
            <color rgb="FF000000"/>
            <rFont val="Tahoma"/>
            <family val="2"/>
          </rPr>
          <t xml:space="preserve">
</t>
        </r>
        <r>
          <rPr>
            <sz val="10"/>
            <color rgb="FF000000"/>
            <rFont val="Tahoma"/>
            <family val="2"/>
          </rPr>
          <t xml:space="preserve">PMI is typically 0.5% to 1% and is applied ONLY to loans NOT meeting 20% down. It is based on your credit rating.
</t>
        </r>
        <r>
          <rPr>
            <sz val="10"/>
            <color rgb="FF000000"/>
            <rFont val="Tahoma"/>
            <family val="2"/>
          </rPr>
          <t xml:space="preserve">
</t>
        </r>
        <r>
          <rPr>
            <sz val="10"/>
            <color rgb="FF000000"/>
            <rFont val="Tahoma"/>
            <family val="2"/>
          </rPr>
          <t>If down payment is greater than 20%, make this zero.</t>
        </r>
      </text>
    </comment>
    <comment ref="B15" authorId="0" shapeId="0" xr:uid="{4E3BA178-AB11-DA4F-BFC9-6F2E059E9A1F}">
      <text>
        <r>
          <rPr>
            <b/>
            <sz val="10"/>
            <color rgb="FF000000"/>
            <rFont val="Tahoma"/>
            <family val="2"/>
          </rPr>
          <t>Tim Phillips:</t>
        </r>
        <r>
          <rPr>
            <sz val="10"/>
            <color rgb="FF000000"/>
            <rFont val="Tahoma"/>
            <family val="2"/>
          </rPr>
          <t xml:space="preserve">
</t>
        </r>
        <r>
          <rPr>
            <sz val="10"/>
            <color rgb="FF000000"/>
            <rFont val="Calibri"/>
            <family val="2"/>
          </rPr>
          <t xml:space="preserve">If there are points, will need to fix expenses formula to add the points.
</t>
        </r>
        <r>
          <rPr>
            <sz val="10"/>
            <color rgb="FF000000"/>
            <rFont val="Calibri"/>
            <family val="2"/>
          </rPr>
          <t xml:space="preserve">
</t>
        </r>
        <r>
          <rPr>
            <sz val="10"/>
            <color rgb="FF000000"/>
            <rFont val="Calibri"/>
            <family val="2"/>
          </rPr>
          <t>Often when you take out a loan, you will pay "points" (aka: fees) on the loan. One point is equal to 1% of the loan amount. For example, a $100,000 loan with 2 points would be $2,000.</t>
        </r>
      </text>
    </comment>
    <comment ref="I15" authorId="0" shapeId="0" xr:uid="{1DDAE432-AA29-D343-8E8C-E994B0300267}">
      <text>
        <r>
          <rPr>
            <b/>
            <sz val="10"/>
            <color rgb="FF000000"/>
            <rFont val="Tahoma"/>
            <family val="2"/>
          </rPr>
          <t>Tim Phillips:</t>
        </r>
        <r>
          <rPr>
            <sz val="10"/>
            <color rgb="FF000000"/>
            <rFont val="Tahoma"/>
            <family val="2"/>
          </rPr>
          <t xml:space="preserve">
</t>
        </r>
        <r>
          <rPr>
            <sz val="10"/>
            <color rgb="FF000000"/>
            <rFont val="Calibri"/>
            <family val="2"/>
          </rPr>
          <t>Over time, a property’s value increases due to a combination of inflation and local market dynamics. On average, American real estate has appreciated between 2 and 3% per year over the past 100 years. Default is 2% property growth, but you can choose to adjust this number to whatever you believe is most accurate for your market and property.</t>
        </r>
      </text>
    </comment>
    <comment ref="B16" authorId="0" shapeId="0" xr:uid="{A31A7CB3-A9EA-B649-8A63-14BA1F09ADBD}">
      <text>
        <r>
          <rPr>
            <b/>
            <sz val="10"/>
            <color rgb="FF000000"/>
            <rFont val="Tahoma"/>
            <family val="2"/>
          </rPr>
          <t>Tim Phillips:</t>
        </r>
        <r>
          <rPr>
            <sz val="10"/>
            <color rgb="FF000000"/>
            <rFont val="Tahoma"/>
            <family val="2"/>
          </rPr>
          <t xml:space="preserve">
</t>
        </r>
        <r>
          <rPr>
            <sz val="10"/>
            <color rgb="FF000000"/>
            <rFont val="Tahoma"/>
            <family val="2"/>
          </rPr>
          <t>Change based on the length of the mortgage.</t>
        </r>
      </text>
    </comment>
    <comment ref="B17" authorId="1" shapeId="0" xr:uid="{102A707C-3B20-6740-ACAC-ED023354C30A}">
      <text>
        <r>
          <rPr>
            <sz val="11"/>
            <color rgb="FF000000"/>
            <rFont val="Calibri"/>
            <family val="2"/>
          </rPr>
          <t>Estimated amount for maintenance for suites and common areas that will need to be done that should have been done by the previous owner.</t>
        </r>
      </text>
    </comment>
    <comment ref="B21" authorId="0" shapeId="0" xr:uid="{85B19B39-3CEF-8445-B283-22783BED8D92}">
      <text>
        <r>
          <rPr>
            <b/>
            <sz val="10"/>
            <color rgb="FF000000"/>
            <rFont val="Tahoma"/>
            <family val="2"/>
          </rPr>
          <t>Tim Phillips:</t>
        </r>
        <r>
          <rPr>
            <sz val="10"/>
            <color rgb="FF000000"/>
            <rFont val="Tahoma"/>
            <family val="2"/>
          </rPr>
          <t xml:space="preserve">
</t>
        </r>
        <r>
          <rPr>
            <sz val="10"/>
            <color rgb="FF000000"/>
            <rFont val="Tahoma"/>
            <family val="2"/>
          </rPr>
          <t xml:space="preserve">Rent can be estimated by comparing to similar properties in the area.
</t>
        </r>
        <r>
          <rPr>
            <sz val="10"/>
            <color rgb="FF000000"/>
            <rFont val="Tahoma"/>
            <family val="2"/>
          </rPr>
          <t xml:space="preserve">
</t>
        </r>
        <r>
          <rPr>
            <sz val="10"/>
            <color rgb="FF000000"/>
            <rFont val="Tahoma"/>
            <family val="2"/>
          </rPr>
          <t>Can follow the 1% rule if you have no idea. Property should rent for 1% of the purchase price.</t>
        </r>
      </text>
    </comment>
    <comment ref="B22" authorId="0" shapeId="0" xr:uid="{35FA9008-B407-D64B-8E41-D200CDB89AF2}">
      <text>
        <r>
          <rPr>
            <b/>
            <sz val="10"/>
            <color rgb="FF000000"/>
            <rFont val="Tahoma"/>
            <family val="2"/>
          </rPr>
          <t>Tim Phillips:</t>
        </r>
        <r>
          <rPr>
            <sz val="10"/>
            <color rgb="FF000000"/>
            <rFont val="Tahoma"/>
            <family val="2"/>
          </rPr>
          <t xml:space="preserve">
</t>
        </r>
        <r>
          <rPr>
            <sz val="10"/>
            <color rgb="FF000000"/>
            <rFont val="Tahoma"/>
            <family val="2"/>
          </rPr>
          <t>Include extra income including garages, office space, etc.</t>
        </r>
      </text>
    </comment>
    <comment ref="B23" authorId="0" shapeId="0" xr:uid="{758E2AD8-15B1-6E4C-A9BE-C770AED11486}">
      <text>
        <r>
          <rPr>
            <b/>
            <sz val="10"/>
            <color rgb="FF000000"/>
            <rFont val="Tahoma"/>
            <family val="2"/>
          </rPr>
          <t>Tim Phillips:</t>
        </r>
        <r>
          <rPr>
            <sz val="10"/>
            <color rgb="FF000000"/>
            <rFont val="Tahoma"/>
            <family val="2"/>
          </rPr>
          <t xml:space="preserve">
</t>
        </r>
        <r>
          <rPr>
            <sz val="10"/>
            <color rgb="FF000000"/>
            <rFont val="Tahoma"/>
            <family val="2"/>
          </rPr>
          <t xml:space="preserve">Do not fill in when estimating a property.
</t>
        </r>
        <r>
          <rPr>
            <sz val="10"/>
            <color rgb="FF000000"/>
            <rFont val="Tahoma"/>
            <family val="2"/>
          </rPr>
          <t xml:space="preserve">
</t>
        </r>
        <r>
          <rPr>
            <sz val="10"/>
            <color rgb="FF000000"/>
            <rFont val="Tahoma"/>
            <family val="2"/>
          </rPr>
          <t>Will know the amount after the first year.</t>
        </r>
      </text>
    </comment>
    <comment ref="B38" authorId="0" shapeId="0" xr:uid="{52D109C4-3E81-1843-9E27-DF0CA490BE0F}">
      <text>
        <r>
          <rPr>
            <b/>
            <sz val="10"/>
            <color rgb="FF000000"/>
            <rFont val="Tahoma"/>
            <family val="2"/>
          </rPr>
          <t>Tim Phillips:</t>
        </r>
        <r>
          <rPr>
            <sz val="10"/>
            <color rgb="FF000000"/>
            <rFont val="Tahoma"/>
            <family val="2"/>
          </rPr>
          <t xml:space="preserve">
</t>
        </r>
        <r>
          <rPr>
            <sz val="10"/>
            <color rgb="FF000000"/>
            <rFont val="Calibri"/>
            <family val="2"/>
          </rPr>
          <t>CapEx, short for capital expenditures, are the large less-than-frequent improvements done to a property such as roofs, parking lots, siding, or appliances. CapEx will depend on numerous factors such as property type, the location of the property, and the age of the property. Typically, many investors allocate between 5 and 15% of the rent for CapEx.</t>
        </r>
      </text>
    </comment>
    <comment ref="B39" authorId="0" shapeId="0" xr:uid="{26913056-8153-7B41-8C72-DEDFDB74F0EC}">
      <text>
        <r>
          <rPr>
            <b/>
            <sz val="10"/>
            <color rgb="FF000000"/>
            <rFont val="Tahoma"/>
            <family val="2"/>
          </rPr>
          <t>Tim Phillips:</t>
        </r>
        <r>
          <rPr>
            <sz val="10"/>
            <color rgb="FF000000"/>
            <rFont val="Tahoma"/>
            <family val="2"/>
          </rPr>
          <t xml:space="preserve">
</t>
        </r>
        <r>
          <rPr>
            <sz val="10"/>
            <color rgb="FF000000"/>
            <rFont val="Calibri"/>
            <family val="2"/>
          </rPr>
          <t>How much does a local property manager charge to manage the property each month? This number is usually expressed as a percentage. This rate may differ based on location and property type, but typical rates hover between 7-12% of the gross monthly rent.</t>
        </r>
      </text>
    </comment>
    <comment ref="B40" authorId="0" shapeId="0" xr:uid="{52FAC0CF-4207-4E44-B3C2-A0E334A78442}">
      <text>
        <r>
          <rPr>
            <b/>
            <sz val="10"/>
            <color rgb="FF000000"/>
            <rFont val="Tahoma"/>
            <family val="2"/>
          </rPr>
          <t>Tim Phillips:</t>
        </r>
        <r>
          <rPr>
            <sz val="10"/>
            <color rgb="FF000000"/>
            <rFont val="Tahoma"/>
            <family val="2"/>
          </rPr>
          <t xml:space="preserve">
</t>
        </r>
        <r>
          <rPr>
            <sz val="10"/>
            <color rgb="FF000000"/>
            <rFont val="Calibri"/>
            <family val="2"/>
          </rPr>
          <t>All properties require ongoing maintenance when things break (and with tenants - they will). This number is usually expressed as a percentage of the rent. Although repairs will depend on numerous factors such as the location and age of the property; typical repair costs tend to be between 5-15% of the gross monthly rent.</t>
        </r>
      </text>
    </comment>
    <comment ref="B41" authorId="0" shapeId="0" xr:uid="{62DB229F-3309-9742-8477-16AB496B6863}">
      <text>
        <r>
          <rPr>
            <b/>
            <sz val="10"/>
            <color rgb="FF000000"/>
            <rFont val="Tahoma"/>
            <family val="2"/>
          </rPr>
          <t>Tim Phillips:</t>
        </r>
        <r>
          <rPr>
            <sz val="10"/>
            <color rgb="FF000000"/>
            <rFont val="Tahoma"/>
            <family val="2"/>
          </rPr>
          <t xml:space="preserve">
</t>
        </r>
        <r>
          <rPr>
            <sz val="10"/>
            <color rgb="FF000000"/>
            <rFont val="Calibri"/>
            <family val="2"/>
          </rPr>
          <t>Vacancy rate is the cost of the property sitting empty due to tenant turnover. This number can vary depending on the area, so consult with a local property manager or landlord as to the local norms. Typical vacancy rates are between 3%-10% of the gross monthly rent, but again, that can depend on the area.</t>
        </r>
      </text>
    </comment>
    <comment ref="B46" authorId="1" shapeId="0" xr:uid="{DC47F15A-31F0-AC44-BF40-23FA9BCE2DC1}">
      <text>
        <r>
          <rPr>
            <sz val="11"/>
            <color rgb="FF000000"/>
            <rFont val="Calibri"/>
            <family val="2"/>
          </rPr>
          <t>NOI = Revenue - Expenses</t>
        </r>
      </text>
    </comment>
    <comment ref="B48" authorId="1" shapeId="0" xr:uid="{B17E8272-44E2-D346-B531-12FCD35FA487}">
      <text>
        <r>
          <rPr>
            <sz val="11"/>
            <color rgb="FF000000"/>
            <rFont val="Calibri"/>
            <family val="2"/>
          </rPr>
          <t>Net profit = NOI – Mortgage Payments</t>
        </r>
      </text>
    </comment>
    <comment ref="B49" authorId="1" shapeId="0" xr:uid="{E8DC73E9-FE14-E842-B042-10B08A5F3DBB}">
      <text>
        <r>
          <rPr>
            <sz val="11"/>
            <color rgb="FF000000"/>
            <rFont val="Calibri"/>
            <family val="2"/>
          </rPr>
          <t>Cash Outlet = Down Payment + Closing Costs + Deferred Maintenance Cost</t>
        </r>
      </text>
    </comment>
    <comment ref="B50" authorId="1" shapeId="0" xr:uid="{D1CCE5D5-CAFB-2D42-887C-E5738A060DB5}">
      <text>
        <r>
          <rPr>
            <sz val="11"/>
            <color rgb="FF000000"/>
            <rFont val="Calibri"/>
            <family val="2"/>
          </rPr>
          <t xml:space="preserve">Cap Rate = NOI / Purchase Price
</t>
        </r>
        <r>
          <rPr>
            <sz val="11"/>
            <color rgb="FF000000"/>
            <rFont val="Calibri"/>
            <family val="2"/>
          </rPr>
          <t xml:space="preserve">
</t>
        </r>
        <r>
          <rPr>
            <sz val="11"/>
            <color rgb="FF000000"/>
            <rFont val="Calibri"/>
            <family val="2"/>
          </rPr>
          <t xml:space="preserve">A good cap rate is between 8% -12%.
</t>
        </r>
        <r>
          <rPr>
            <sz val="11"/>
            <color rgb="FF000000"/>
            <rFont val="Calibri"/>
            <family val="2"/>
          </rPr>
          <t>A high cap rate shows the property is risky and a low rate shows it has less risk.</t>
        </r>
      </text>
    </comment>
    <comment ref="B51" authorId="1" shapeId="0" xr:uid="{5EED740E-F35C-194D-B58E-ED301795EC7A}">
      <text>
        <r>
          <rPr>
            <sz val="11"/>
            <color rgb="FF000000"/>
            <rFont val="Calibri"/>
            <family val="2"/>
          </rPr>
          <t>How many years it will take before you get your money back.</t>
        </r>
      </text>
    </comment>
    <comment ref="B52" authorId="0" shapeId="0" xr:uid="{B0C242F4-6D4C-D64A-827D-AB5D6CF90BB7}">
      <text>
        <r>
          <rPr>
            <b/>
            <sz val="10"/>
            <color rgb="FF000000"/>
            <rFont val="Tahoma"/>
            <family val="2"/>
          </rPr>
          <t>Tim Phillips:</t>
        </r>
        <r>
          <rPr>
            <sz val="10"/>
            <color rgb="FF000000"/>
            <rFont val="Tahoma"/>
            <family val="2"/>
          </rPr>
          <t xml:space="preserve">
</t>
        </r>
        <r>
          <rPr>
            <sz val="10"/>
            <color rgb="FF000000"/>
            <rFont val="Calibri"/>
            <family val="2"/>
          </rPr>
          <t xml:space="preserve">Equity = Property value - Property debt </t>
        </r>
      </text>
    </comment>
    <comment ref="B53" authorId="0" shapeId="0" xr:uid="{D7F60AC3-9F38-0A43-BEA8-725B3174BF77}">
      <text>
        <r>
          <rPr>
            <b/>
            <sz val="10"/>
            <color rgb="FF000000"/>
            <rFont val="Tahoma"/>
            <family val="2"/>
          </rPr>
          <t>Tim Phillips:</t>
        </r>
        <r>
          <rPr>
            <sz val="10"/>
            <color rgb="FF000000"/>
            <rFont val="Tahoma"/>
            <family val="2"/>
          </rPr>
          <t xml:space="preserve">
</t>
        </r>
        <r>
          <rPr>
            <sz val="10"/>
            <color rgb="FF000000"/>
            <rFont val="Tahoma"/>
            <family val="2"/>
          </rPr>
          <t xml:space="preserve">Cash on Cash return = Annual cash flow/total cash invested
</t>
        </r>
        <r>
          <rPr>
            <sz val="10"/>
            <color rgb="FF000000"/>
            <rFont val="Tahoma"/>
            <family val="2"/>
          </rPr>
          <t xml:space="preserve">
</t>
        </r>
        <r>
          <rPr>
            <sz val="10"/>
            <color rgb="FF000000"/>
            <rFont val="Tahoma"/>
            <family val="2"/>
          </rPr>
          <t>Need at least 8% but want closer to 15%.</t>
        </r>
      </text>
    </comment>
    <comment ref="B54" authorId="0" shapeId="0" xr:uid="{09650363-CA54-3345-80BA-7A44597C98AB}">
      <text>
        <r>
          <rPr>
            <b/>
            <sz val="10"/>
            <color rgb="FF000000"/>
            <rFont val="Tahoma"/>
            <family val="2"/>
          </rPr>
          <t>Tim Phillips:</t>
        </r>
        <r>
          <rPr>
            <sz val="10"/>
            <color rgb="FF000000"/>
            <rFont val="Tahoma"/>
            <family val="2"/>
          </rPr>
          <t xml:space="preserve">
</t>
        </r>
        <r>
          <rPr>
            <sz val="10"/>
            <color rgb="FF000000"/>
            <rFont val="Tahoma"/>
            <family val="2"/>
          </rPr>
          <t>This can vary and isnt too good of an indicator, but it assumes that 50% of your income is expenses. Then by subtracting out the mortgage payment, you can see what your average cash flow over time could be.</t>
        </r>
      </text>
    </comment>
    <comment ref="B55" authorId="0" shapeId="0" xr:uid="{908E7749-2191-3541-B157-14659FA9AD56}">
      <text>
        <r>
          <rPr>
            <b/>
            <sz val="10"/>
            <color rgb="FF000000"/>
            <rFont val="Tahoma"/>
            <family val="2"/>
          </rPr>
          <t>Tim Phillips:</t>
        </r>
        <r>
          <rPr>
            <sz val="10"/>
            <color rgb="FF000000"/>
            <rFont val="Tahoma"/>
            <family val="2"/>
          </rPr>
          <t xml:space="preserve">
</t>
        </r>
        <r>
          <rPr>
            <sz val="10"/>
            <color rgb="FF000000"/>
            <rFont val="Calibri"/>
            <family val="2"/>
          </rPr>
          <t xml:space="preserve">Price of Home / Square Footage = Average Price per Square Foot.
</t>
        </r>
        <r>
          <rPr>
            <sz val="10"/>
            <color rgb="FF000000"/>
            <rFont val="Tahoma"/>
            <family val="2"/>
          </rPr>
          <t xml:space="preserve">
</t>
        </r>
        <r>
          <rPr>
            <sz val="10"/>
            <color rgb="FF000000"/>
            <rFont val="Calibri"/>
            <family val="2"/>
          </rPr>
          <t xml:space="preserve">“Price per square foot is best used to compare properties that are already similar in overall size, location, style, and quality of finishes,”
</t>
        </r>
        <r>
          <rPr>
            <sz val="10"/>
            <color rgb="FF000000"/>
            <rFont val="Tahoma"/>
            <family val="2"/>
          </rPr>
          <t xml:space="preserve">
</t>
        </r>
        <r>
          <rPr>
            <sz val="10"/>
            <color rgb="FF000000"/>
            <rFont val="Tahoma"/>
            <family val="2"/>
          </rPr>
          <t xml:space="preserve">https://www.homelight.com/blog/buyer-average-price-per-square-foot/
</t>
        </r>
      </text>
    </comment>
  </commentList>
</comments>
</file>

<file path=xl/sharedStrings.xml><?xml version="1.0" encoding="utf-8"?>
<sst xmlns="http://schemas.openxmlformats.org/spreadsheetml/2006/main" count="194" uniqueCount="134">
  <si>
    <t>Property Information</t>
  </si>
  <si>
    <t>Cap Rate</t>
    <phoneticPr fontId="0" type="noConversion"/>
  </si>
  <si>
    <t>Cash Outlay</t>
  </si>
  <si>
    <t>Net Profit</t>
  </si>
  <si>
    <t>Net Operating Income (NOI)</t>
  </si>
  <si>
    <t>Yearly</t>
  </si>
  <si>
    <t>Monthly</t>
  </si>
  <si>
    <t>Total Expenses</t>
  </si>
  <si>
    <t xml:space="preserve">Vacancy Allowance </t>
  </si>
  <si>
    <t>Gas</t>
  </si>
  <si>
    <t>Y</t>
  </si>
  <si>
    <t>Insurance</t>
  </si>
  <si>
    <t>Y</t>
    <phoneticPr fontId="0" type="noConversion"/>
  </si>
  <si>
    <t>Property Taxes</t>
  </si>
  <si>
    <t>Amount</t>
  </si>
  <si>
    <t>Monthly/Yearly</t>
  </si>
  <si>
    <t>EXPENSES</t>
  </si>
  <si>
    <t>Total Revenue</t>
  </si>
  <si>
    <t>Monthly Rent</t>
  </si>
  <si>
    <t>Deferred Maintenance Expense</t>
  </si>
  <si>
    <t>Amortization Period (years)</t>
  </si>
  <si>
    <t>Down Payment</t>
  </si>
  <si>
    <t>Yearly</t>
    <phoneticPr fontId="0" type="noConversion"/>
  </si>
  <si>
    <t>&lt;- don't modify green cells</t>
    <phoneticPr fontId="0" type="noConversion"/>
  </si>
  <si>
    <t>&lt;- update yellow cells with your numbers</t>
    <phoneticPr fontId="0" type="noConversion"/>
  </si>
  <si>
    <t>Bedrooms:</t>
  </si>
  <si>
    <t>Bathrooms:</t>
  </si>
  <si>
    <t>Sq. Feet:</t>
  </si>
  <si>
    <t>Year Built:</t>
  </si>
  <si>
    <t>Rental Income</t>
  </si>
  <si>
    <t>Expenses</t>
  </si>
  <si>
    <t>Additional Info:</t>
  </si>
  <si>
    <t>Photo:</t>
  </si>
  <si>
    <t>Property Purchase Price</t>
  </si>
  <si>
    <t>Purchase Closing Costs</t>
  </si>
  <si>
    <t>Loan/Mortgage Amount</t>
  </si>
  <si>
    <t>Mortgage Interest Rate</t>
  </si>
  <si>
    <t>PROPERTY COST</t>
  </si>
  <si>
    <t>INCOME</t>
  </si>
  <si>
    <t>Gross Rent</t>
  </si>
  <si>
    <t>Other Sources of Revenue</t>
  </si>
  <si>
    <t>Points Charged</t>
  </si>
  <si>
    <t>Repairs &amp; Building Maintenance</t>
  </si>
  <si>
    <t>Capiital Expenditures</t>
  </si>
  <si>
    <t>Property Management Fees</t>
  </si>
  <si>
    <t>Electricity</t>
  </si>
  <si>
    <t>Water &amp; Sewer</t>
  </si>
  <si>
    <t>HOA Fees</t>
  </si>
  <si>
    <t>Garbage</t>
  </si>
  <si>
    <t>Other Expenses</t>
  </si>
  <si>
    <t>Cash on Cash Return (COC)</t>
  </si>
  <si>
    <t>Current Property Value:</t>
  </si>
  <si>
    <t>Remaing Loan Amount:</t>
  </si>
  <si>
    <t>Date Purchased:</t>
  </si>
  <si>
    <t>Appreciation:</t>
  </si>
  <si>
    <t>Total Return</t>
  </si>
  <si>
    <t>Notes</t>
  </si>
  <si>
    <t>Rental Property Analysis ______</t>
  </si>
  <si>
    <t>THE MATH</t>
  </si>
  <si>
    <t>Appreciation</t>
  </si>
  <si>
    <t>Years to Recover Cash Invested</t>
  </si>
  <si>
    <t>Annual Estimated Returns</t>
  </si>
  <si>
    <t>Property Address:</t>
  </si>
  <si>
    <t>Type of Property:</t>
  </si>
  <si>
    <t>PMI</t>
  </si>
  <si>
    <t>Mortgage &amp; PMI Payments</t>
  </si>
  <si>
    <t>Year 1</t>
  </si>
  <si>
    <t>Year 2</t>
  </si>
  <si>
    <t>Year 5</t>
  </si>
  <si>
    <t>Year 10</t>
  </si>
  <si>
    <t>Year 15</t>
  </si>
  <si>
    <t>Year 20</t>
  </si>
  <si>
    <t>Year 30</t>
  </si>
  <si>
    <t>Annual Revenue Increase</t>
  </si>
  <si>
    <t>Annual Operating Expense Increase</t>
  </si>
  <si>
    <t>Revenues</t>
  </si>
  <si>
    <t>Gross Income</t>
  </si>
  <si>
    <t>Expenses as % of Gross Income</t>
  </si>
  <si>
    <t>Cash Flow</t>
  </si>
  <si>
    <t>NOI (Cash Available)</t>
  </si>
  <si>
    <t>Mortgage</t>
  </si>
  <si>
    <t>Total Cash Flow</t>
  </si>
  <si>
    <t>Equity Accrued (range)</t>
  </si>
  <si>
    <t>Total ROI</t>
  </si>
  <si>
    <t>Cash Flow / Mortgage Ratio</t>
  </si>
  <si>
    <t>Total Equity Accrued</t>
  </si>
  <si>
    <t>Loan Payoff Amount</t>
  </si>
  <si>
    <t>Propert Management Fees</t>
  </si>
  <si>
    <t>Water &amp; Sewage</t>
  </si>
  <si>
    <t>Vacancy Allowance</t>
  </si>
  <si>
    <t>Cash on Cash Return</t>
  </si>
  <si>
    <t>AMOUNT</t>
  </si>
  <si>
    <t>MORTGAGE</t>
  </si>
  <si>
    <t>CASH FLOW</t>
  </si>
  <si>
    <t>Down Payment %</t>
  </si>
  <si>
    <t>Cash Flow at Various Purchase Price</t>
  </si>
  <si>
    <t>Average Rent in Area:</t>
  </si>
  <si>
    <t>Single-Family</t>
  </si>
  <si>
    <t>$800 - $1200</t>
  </si>
  <si>
    <t>MONTHLY INCOME</t>
  </si>
  <si>
    <t>FINANCE AMOUNT</t>
  </si>
  <si>
    <t>DOWN PAYMENT</t>
  </si>
  <si>
    <t>MONTHLY CASH FLOW</t>
  </si>
  <si>
    <t>CASH OUTLAY</t>
  </si>
  <si>
    <t>Purchase price</t>
  </si>
  <si>
    <t>Purchase closing costs</t>
  </si>
  <si>
    <t>Estimated repair costs</t>
  </si>
  <si>
    <t>Total project cost</t>
  </si>
  <si>
    <t>Down payment</t>
  </si>
  <si>
    <t>Loan amount</t>
  </si>
  <si>
    <t>Loan points amount</t>
  </si>
  <si>
    <t>Amortized over</t>
  </si>
  <si>
    <t>Loan interest rate</t>
  </si>
  <si>
    <t>Property taxes</t>
  </si>
  <si>
    <t>MONTHLY EXPENSES</t>
  </si>
  <si>
    <t>YEARLY NET OPERATiNG INCOME</t>
  </si>
  <si>
    <t>CAP RATE</t>
  </si>
  <si>
    <t>MONTLY EXPENSES + MORTGAGE + PMI</t>
  </si>
  <si>
    <t>CASH ON CASH RETURN</t>
  </si>
  <si>
    <t>EQUITY AFTER FIRST YEAR</t>
  </si>
  <si>
    <t>YEARS TO RECOVER CASH INVESTED</t>
  </si>
  <si>
    <t>NET PROFIT</t>
  </si>
  <si>
    <t>Price per Square Ft.</t>
  </si>
  <si>
    <t>Cable/Internet</t>
  </si>
  <si>
    <t>Security</t>
  </si>
  <si>
    <t>Prepared:</t>
  </si>
  <si>
    <t>Property Financial</t>
  </si>
  <si>
    <t>Important Financial Numbers</t>
  </si>
  <si>
    <t>Property Loan</t>
  </si>
  <si>
    <t>Property Monthly Expenses</t>
  </si>
  <si>
    <t>Allentown</t>
  </si>
  <si>
    <t>Nice Place</t>
  </si>
  <si>
    <t>Equity Accrued after 1st Year</t>
  </si>
  <si>
    <t>50%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</si>
</sst>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164" formatCode="[$$-1009]#,##0.00;[Red]\-[$$-1009]#,##0.00"/>
    <numFmt numFmtId="165" formatCode="_(\$* #,##0.00_);_(\$* \(#,##0.00\);_(\$* \-??_);_(@_)"/>
    <numFmt numFmtId="166" formatCode="\$#,##0_);[Red]&quot;($&quot;#,##0\)"/>
    <numFmt numFmtId="167" formatCode="0.000%"/>
    <numFmt numFmtId="168" formatCode="0.0%"/>
    <numFmt numFmtId="169" formatCode="&quot;$&quot;#,##0.00"/>
    <numFmt numFmtId="170" formatCode="&quot;$&quot;#,##0"/>
  </numFmts>
  <fonts count="35">
    <font>
      <sz val="12"/>
      <color theme="1"/>
      <name val="Calibri"/>
      <family val="2"/>
      <scheme val="minor"/>
    </font>
    <font>
      <sz val="12"/>
      <color theme="1"/>
      <name val="Calibri"/>
      <family val="2"/>
      <scheme val="minor"/>
    </font>
    <font>
      <sz val="10"/>
      <color theme="3" tint="0.24994659260841701"/>
      <name val="Calibri"/>
      <family val="2"/>
      <scheme val="minor"/>
    </font>
    <font>
      <b/>
      <sz val="12"/>
      <color indexed="8"/>
      <name val="Arial"/>
      <family val="2"/>
    </font>
    <font>
      <sz val="11"/>
      <color rgb="FF000000"/>
      <name val="Calibri"/>
      <family val="2"/>
    </font>
    <font>
      <sz val="14"/>
      <color theme="1"/>
      <name val="Calibri"/>
      <family val="2"/>
      <scheme val="minor"/>
    </font>
    <font>
      <sz val="12"/>
      <color indexed="8"/>
      <name val="Arial"/>
      <family val="2"/>
    </font>
    <font>
      <b/>
      <sz val="20"/>
      <color indexed="8"/>
      <name val="Arial"/>
      <family val="2"/>
    </font>
    <font>
      <b/>
      <sz val="18"/>
      <color indexed="8"/>
      <name val="Arial"/>
      <family val="2"/>
    </font>
    <font>
      <sz val="10"/>
      <color rgb="FF000000"/>
      <name val="Tahoma"/>
      <family val="2"/>
    </font>
    <font>
      <b/>
      <sz val="10"/>
      <color rgb="FF000000"/>
      <name val="Tahoma"/>
      <family val="2"/>
    </font>
    <font>
      <sz val="10"/>
      <color rgb="FF000000"/>
      <name val="Calibri"/>
      <family val="2"/>
      <scheme val="minor"/>
    </font>
    <font>
      <sz val="10"/>
      <name val="Open Sans"/>
    </font>
    <font>
      <sz val="10"/>
      <color theme="3" tint="0.24994659260841701"/>
      <name val="Arial"/>
      <family val="2"/>
    </font>
    <font>
      <sz val="12"/>
      <color theme="1"/>
      <name val="Arial"/>
      <family val="2"/>
    </font>
    <font>
      <b/>
      <sz val="12"/>
      <color theme="0"/>
      <name val="Arial"/>
      <family val="2"/>
    </font>
    <font>
      <sz val="12"/>
      <color indexed="55"/>
      <name val="Arial"/>
      <family val="2"/>
    </font>
    <font>
      <sz val="12"/>
      <name val="Arial"/>
      <family val="2"/>
    </font>
    <font>
      <sz val="12"/>
      <color theme="3" tint="0.24994659260841701"/>
      <name val="Calibri"/>
      <family val="2"/>
      <scheme val="minor"/>
    </font>
    <font>
      <b/>
      <sz val="26"/>
      <color indexed="8"/>
      <name val="Arial"/>
      <family val="2"/>
    </font>
    <font>
      <b/>
      <sz val="12"/>
      <name val="Arial"/>
      <family val="2"/>
    </font>
    <font>
      <sz val="12"/>
      <color theme="3" tint="0.24994659260841701"/>
      <name val="Arial"/>
      <family val="2"/>
    </font>
    <font>
      <sz val="12"/>
      <color theme="2" tint="-0.499984740745262"/>
      <name val="Arial"/>
      <family val="2"/>
    </font>
    <font>
      <sz val="12"/>
      <color theme="0"/>
      <name val="Arial"/>
      <family val="2"/>
    </font>
    <font>
      <b/>
      <sz val="18"/>
      <color rgb="FFF46524"/>
      <name val="Arial"/>
      <family val="2"/>
    </font>
    <font>
      <b/>
      <sz val="26"/>
      <color theme="1"/>
      <name val="Arial"/>
      <family val="2"/>
    </font>
    <font>
      <sz val="16"/>
      <color theme="1"/>
      <name val="Arial"/>
      <family val="2"/>
    </font>
    <font>
      <sz val="14"/>
      <name val="Arial"/>
      <family val="2"/>
    </font>
    <font>
      <sz val="14"/>
      <color theme="1"/>
      <name val="Arial"/>
      <family val="2"/>
    </font>
    <font>
      <b/>
      <sz val="14"/>
      <name val="Arial"/>
      <family val="2"/>
    </font>
    <font>
      <i/>
      <sz val="14"/>
      <name val="Arial"/>
      <family val="2"/>
    </font>
    <font>
      <b/>
      <sz val="16"/>
      <color rgb="FF666666"/>
      <name val="Arial"/>
      <family val="2"/>
    </font>
    <font>
      <b/>
      <sz val="14"/>
      <color rgb="FF666666"/>
      <name val="Arial"/>
      <family val="2"/>
    </font>
    <font>
      <b/>
      <sz val="18"/>
      <color theme="1"/>
      <name val="Arial"/>
      <family val="2"/>
    </font>
    <font>
      <sz val="10"/>
      <color rgb="FF000000"/>
      <name val="Calibri"/>
      <family val="2"/>
    </font>
  </fonts>
  <fills count="20">
    <fill>
      <patternFill patternType="none"/>
    </fill>
    <fill>
      <patternFill patternType="gray125"/>
    </fill>
    <fill>
      <patternFill patternType="solid">
        <fgColor theme="2" tint="-9.9948118533890809E-2"/>
        <bgColor indexed="64"/>
      </patternFill>
    </fill>
    <fill>
      <patternFill patternType="solid">
        <fgColor indexed="42"/>
        <bgColor indexed="64"/>
      </patternFill>
    </fill>
    <fill>
      <patternFill patternType="solid">
        <fgColor indexed="43"/>
        <bgColor indexed="35"/>
      </patternFill>
    </fill>
    <fill>
      <patternFill patternType="solid">
        <fgColor indexed="43"/>
        <bgColor indexed="64"/>
      </patternFill>
    </fill>
    <fill>
      <patternFill patternType="solid">
        <fgColor rgb="FF00B0F0"/>
        <bgColor indexed="38"/>
      </patternFill>
    </fill>
    <fill>
      <patternFill patternType="solid">
        <fgColor rgb="FFFFFF9A"/>
        <bgColor indexed="64"/>
      </patternFill>
    </fill>
    <fill>
      <patternFill patternType="solid">
        <fgColor rgb="FFCCFFCC"/>
        <bgColor indexed="64"/>
      </patternFill>
    </fill>
    <fill>
      <patternFill patternType="solid">
        <fgColor rgb="FFFFFF99"/>
        <bgColor rgb="FFFFFF99"/>
      </patternFill>
    </fill>
    <fill>
      <patternFill patternType="solid">
        <fgColor rgb="FFEFEFEF"/>
        <bgColor rgb="FFEFEFEF"/>
      </patternFill>
    </fill>
    <fill>
      <patternFill patternType="solid">
        <fgColor rgb="FFFFFFFF"/>
        <bgColor rgb="FFFFFFFF"/>
      </patternFill>
    </fill>
    <fill>
      <patternFill patternType="solid">
        <fgColor theme="0"/>
        <bgColor indexed="64"/>
      </patternFill>
    </fill>
    <fill>
      <patternFill patternType="solid">
        <fgColor rgb="FF00B0F0"/>
        <bgColor rgb="FF99CC00"/>
      </patternFill>
    </fill>
    <fill>
      <patternFill patternType="solid">
        <fgColor rgb="FFD1CECE"/>
        <bgColor indexed="64"/>
      </patternFill>
    </fill>
    <fill>
      <patternFill patternType="solid">
        <fgColor rgb="FF00B0F0"/>
        <bgColor rgb="FFFFCC99"/>
      </patternFill>
    </fill>
    <fill>
      <patternFill patternType="solid">
        <fgColor rgb="FF00B0F0"/>
        <bgColor indexed="64"/>
      </patternFill>
    </fill>
    <fill>
      <patternFill patternType="solid">
        <fgColor rgb="FFEFEFEF"/>
        <bgColor indexed="64"/>
      </patternFill>
    </fill>
    <fill>
      <patternFill patternType="solid">
        <fgColor rgb="FFF3F3F3"/>
        <bgColor rgb="FFF3F3F3"/>
      </patternFill>
    </fill>
    <fill>
      <patternFill patternType="solid">
        <fgColor rgb="FFD1CECE"/>
        <bgColor rgb="FFF3F3F3"/>
      </patternFill>
    </fill>
  </fills>
  <borders count="40">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8"/>
      </bottom>
      <diagonal/>
    </border>
    <border>
      <left style="thin">
        <color indexed="64"/>
      </left>
      <right/>
      <top style="thin">
        <color indexed="64"/>
      </top>
      <bottom style="double">
        <color theme="1"/>
      </bottom>
      <diagonal/>
    </border>
    <border>
      <left/>
      <right/>
      <top style="thin">
        <color indexed="64"/>
      </top>
      <bottom style="double">
        <color theme="1"/>
      </bottom>
      <diagonal/>
    </border>
    <border>
      <left/>
      <right style="thin">
        <color indexed="64"/>
      </right>
      <top style="thin">
        <color indexed="64"/>
      </top>
      <bottom style="double">
        <color theme="1"/>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xf numFmtId="9" fontId="2" fillId="0" borderId="0" applyFont="0" applyFill="0" applyBorder="0" applyAlignment="0" applyProtection="0"/>
    <xf numFmtId="44" fontId="2" fillId="0" borderId="0" applyFont="0" applyFill="0" applyBorder="0" applyAlignment="0" applyProtection="0"/>
  </cellStyleXfs>
  <cellXfs count="270">
    <xf numFmtId="0" fontId="0" fillId="0" borderId="0" xfId="0"/>
    <xf numFmtId="0" fontId="2" fillId="2" borderId="0" xfId="3"/>
    <xf numFmtId="0" fontId="6" fillId="2" borderId="0" xfId="3" applyFont="1" applyBorder="1"/>
    <xf numFmtId="0" fontId="3" fillId="0" borderId="3" xfId="3" applyFont="1" applyFill="1" applyBorder="1"/>
    <xf numFmtId="0" fontId="6" fillId="0" borderId="3" xfId="3" applyFont="1" applyFill="1" applyBorder="1"/>
    <xf numFmtId="0" fontId="2" fillId="2" borderId="22" xfId="3" applyBorder="1"/>
    <xf numFmtId="0" fontId="2" fillId="2" borderId="24" xfId="3" applyBorder="1"/>
    <xf numFmtId="0" fontId="2" fillId="2" borderId="1" xfId="3" applyBorder="1"/>
    <xf numFmtId="0" fontId="2" fillId="2" borderId="0" xfId="3" applyBorder="1"/>
    <xf numFmtId="0" fontId="2" fillId="2" borderId="19" xfId="3" applyBorder="1"/>
    <xf numFmtId="0" fontId="13" fillId="2" borderId="0" xfId="3" applyFont="1"/>
    <xf numFmtId="0" fontId="6" fillId="2" borderId="1" xfId="3" applyFont="1" applyBorder="1"/>
    <xf numFmtId="0" fontId="6" fillId="5" borderId="0" xfId="3" applyFont="1" applyFill="1" applyBorder="1"/>
    <xf numFmtId="0" fontId="6" fillId="2" borderId="0" xfId="3" applyFont="1" applyBorder="1" applyAlignment="1">
      <alignment horizontal="left"/>
    </xf>
    <xf numFmtId="0" fontId="6" fillId="2" borderId="19" xfId="3" applyFont="1" applyBorder="1"/>
    <xf numFmtId="0" fontId="6" fillId="3" borderId="0" xfId="3" applyFont="1" applyFill="1" applyBorder="1"/>
    <xf numFmtId="0" fontId="6" fillId="2" borderId="20" xfId="3" applyFont="1" applyBorder="1"/>
    <xf numFmtId="0" fontId="6" fillId="2" borderId="2" xfId="3" applyFont="1" applyBorder="1"/>
    <xf numFmtId="0" fontId="6" fillId="2" borderId="2" xfId="3" applyFont="1" applyBorder="1" applyAlignment="1">
      <alignment horizontal="right"/>
    </xf>
    <xf numFmtId="0" fontId="6" fillId="2" borderId="21" xfId="3" applyFont="1" applyBorder="1"/>
    <xf numFmtId="0" fontId="15" fillId="6" borderId="4" xfId="3" applyFont="1" applyFill="1" applyBorder="1" applyAlignment="1">
      <alignment horizontal="center"/>
    </xf>
    <xf numFmtId="0" fontId="15" fillId="6" borderId="5" xfId="3" applyFont="1" applyFill="1" applyBorder="1"/>
    <xf numFmtId="0" fontId="15" fillId="6" borderId="5" xfId="3" applyFont="1" applyFill="1" applyBorder="1" applyAlignment="1">
      <alignment horizontal="center"/>
    </xf>
    <xf numFmtId="0" fontId="15" fillId="6" borderId="6" xfId="3" applyFont="1" applyFill="1" applyBorder="1" applyAlignment="1">
      <alignment horizontal="center"/>
    </xf>
    <xf numFmtId="0" fontId="15" fillId="6" borderId="3" xfId="3" applyFont="1" applyFill="1" applyBorder="1" applyAlignment="1">
      <alignment horizontal="center"/>
    </xf>
    <xf numFmtId="0" fontId="6" fillId="2" borderId="0" xfId="3" applyFont="1" applyBorder="1" applyAlignment="1">
      <alignment horizontal="right"/>
    </xf>
    <xf numFmtId="44" fontId="6" fillId="4" borderId="3" xfId="1" applyFont="1" applyFill="1" applyBorder="1" applyAlignment="1" applyProtection="1">
      <alignment horizontal="right"/>
      <protection locked="0"/>
    </xf>
    <xf numFmtId="0" fontId="6" fillId="0" borderId="3" xfId="3" applyFont="1" applyFill="1" applyBorder="1" applyAlignment="1">
      <alignment horizontal="left"/>
    </xf>
    <xf numFmtId="44" fontId="6" fillId="7" borderId="3" xfId="1" applyFont="1" applyFill="1" applyBorder="1" applyAlignment="1" applyProtection="1">
      <alignment horizontal="right"/>
      <protection locked="0"/>
    </xf>
    <xf numFmtId="9" fontId="6" fillId="7" borderId="3" xfId="2" applyFont="1" applyFill="1" applyBorder="1" applyAlignment="1" applyProtection="1">
      <alignment horizontal="right"/>
      <protection locked="0"/>
    </xf>
    <xf numFmtId="44" fontId="6" fillId="8" borderId="3" xfId="1" applyFont="1" applyFill="1" applyBorder="1"/>
    <xf numFmtId="167" fontId="6" fillId="4" borderId="3" xfId="3" applyNumberFormat="1" applyFont="1" applyFill="1" applyBorder="1" applyAlignment="1" applyProtection="1">
      <alignment horizontal="right"/>
      <protection locked="0"/>
    </xf>
    <xf numFmtId="10" fontId="6" fillId="4" borderId="3" xfId="2" applyNumberFormat="1" applyFont="1" applyFill="1" applyBorder="1" applyAlignment="1" applyProtection="1">
      <alignment horizontal="right"/>
      <protection locked="0"/>
    </xf>
    <xf numFmtId="44" fontId="6" fillId="8" borderId="3" xfId="3" applyNumberFormat="1" applyFont="1" applyFill="1" applyBorder="1"/>
    <xf numFmtId="0" fontId="6" fillId="4" borderId="3" xfId="3" applyNumberFormat="1" applyFont="1" applyFill="1" applyBorder="1" applyAlignment="1" applyProtection="1">
      <alignment horizontal="right"/>
      <protection locked="0"/>
    </xf>
    <xf numFmtId="0" fontId="6" fillId="4" borderId="3" xfId="3" applyFont="1" applyFill="1" applyBorder="1" applyAlignment="1" applyProtection="1">
      <alignment horizontal="right"/>
      <protection locked="0"/>
    </xf>
    <xf numFmtId="0" fontId="16" fillId="0" borderId="3" xfId="3" applyFont="1" applyFill="1" applyBorder="1" applyAlignment="1">
      <alignment horizontal="left"/>
    </xf>
    <xf numFmtId="0" fontId="15" fillId="6" borderId="10" xfId="3" applyFont="1" applyFill="1" applyBorder="1" applyAlignment="1">
      <alignment horizontal="center"/>
    </xf>
    <xf numFmtId="0" fontId="15" fillId="6" borderId="11" xfId="3" applyFont="1" applyFill="1" applyBorder="1" applyAlignment="1">
      <alignment horizontal="center"/>
    </xf>
    <xf numFmtId="0" fontId="15" fillId="6" borderId="12" xfId="3" applyFont="1" applyFill="1" applyBorder="1" applyAlignment="1">
      <alignment horizontal="center"/>
    </xf>
    <xf numFmtId="0" fontId="6" fillId="0" borderId="3" xfId="3" applyFont="1" applyFill="1" applyBorder="1" applyProtection="1">
      <protection locked="0"/>
    </xf>
    <xf numFmtId="44" fontId="6" fillId="3" borderId="3" xfId="1" applyFont="1" applyFill="1" applyBorder="1"/>
    <xf numFmtId="0" fontId="15" fillId="6" borderId="13" xfId="3" applyFont="1" applyFill="1" applyBorder="1" applyAlignment="1">
      <alignment horizontal="center"/>
    </xf>
    <xf numFmtId="0" fontId="15" fillId="6" borderId="14" xfId="3" applyFont="1" applyFill="1" applyBorder="1" applyAlignment="1">
      <alignment horizontal="center"/>
    </xf>
    <xf numFmtId="0" fontId="15" fillId="6" borderId="15" xfId="3" applyFont="1" applyFill="1" applyBorder="1" applyAlignment="1">
      <alignment horizontal="center"/>
    </xf>
    <xf numFmtId="0" fontId="6" fillId="4" borderId="3" xfId="3" applyFont="1" applyFill="1" applyBorder="1" applyProtection="1">
      <protection locked="0"/>
    </xf>
    <xf numFmtId="164" fontId="6" fillId="5" borderId="3" xfId="3" applyNumberFormat="1" applyFont="1" applyFill="1" applyBorder="1"/>
    <xf numFmtId="9" fontId="6" fillId="4" borderId="3" xfId="3" applyNumberFormat="1" applyFont="1" applyFill="1" applyBorder="1" applyAlignment="1" applyProtection="1">
      <alignment horizontal="right"/>
      <protection locked="0"/>
    </xf>
    <xf numFmtId="166" fontId="6" fillId="0" borderId="3" xfId="3" applyNumberFormat="1" applyFont="1" applyFill="1" applyBorder="1" applyAlignment="1">
      <alignment horizontal="left"/>
    </xf>
    <xf numFmtId="0" fontId="6" fillId="5" borderId="3" xfId="3" applyFont="1" applyFill="1" applyBorder="1"/>
    <xf numFmtId="0" fontId="15" fillId="6" borderId="7" xfId="3" applyFont="1" applyFill="1" applyBorder="1" applyAlignment="1">
      <alignment horizontal="center"/>
    </xf>
    <xf numFmtId="164" fontId="6" fillId="0" borderId="3" xfId="3" applyNumberFormat="1" applyFont="1" applyFill="1" applyBorder="1"/>
    <xf numFmtId="164" fontId="6" fillId="0" borderId="3" xfId="3" applyNumberFormat="1" applyFont="1" applyFill="1" applyBorder="1" applyAlignment="1">
      <alignment horizontal="right"/>
    </xf>
    <xf numFmtId="10" fontId="6" fillId="3" borderId="3" xfId="4" applyNumberFormat="1" applyFont="1" applyFill="1" applyBorder="1" applyAlignment="1" applyProtection="1">
      <alignment horizontal="right"/>
    </xf>
    <xf numFmtId="44" fontId="6" fillId="3" borderId="3" xfId="1" applyFont="1" applyFill="1" applyBorder="1" applyAlignment="1">
      <alignment horizontal="right"/>
    </xf>
    <xf numFmtId="164" fontId="3" fillId="0" borderId="3" xfId="3" applyNumberFormat="1" applyFont="1" applyFill="1" applyBorder="1"/>
    <xf numFmtId="165" fontId="6" fillId="0" borderId="3" xfId="3" applyNumberFormat="1" applyFont="1" applyFill="1" applyBorder="1"/>
    <xf numFmtId="40" fontId="6" fillId="3" borderId="3" xfId="3" applyNumberFormat="1" applyFont="1" applyFill="1" applyBorder="1" applyAlignment="1">
      <alignment horizontal="right"/>
    </xf>
    <xf numFmtId="170" fontId="20" fillId="0" borderId="3" xfId="0" applyNumberFormat="1" applyFont="1" applyBorder="1" applyAlignment="1">
      <alignment horizontal="left"/>
    </xf>
    <xf numFmtId="0" fontId="20" fillId="0" borderId="3" xfId="0" applyFont="1" applyBorder="1" applyAlignment="1">
      <alignment horizontal="left"/>
    </xf>
    <xf numFmtId="44" fontId="17" fillId="0" borderId="3" xfId="1" applyFont="1" applyBorder="1" applyAlignment="1">
      <alignment horizontal="left"/>
    </xf>
    <xf numFmtId="44" fontId="17" fillId="11" borderId="3" xfId="1" applyFont="1" applyFill="1" applyBorder="1" applyAlignment="1">
      <alignment horizontal="left"/>
    </xf>
    <xf numFmtId="0" fontId="18" fillId="2" borderId="22" xfId="3" applyFont="1" applyBorder="1"/>
    <xf numFmtId="0" fontId="18" fillId="2" borderId="24" xfId="3" applyFont="1" applyBorder="1"/>
    <xf numFmtId="44" fontId="6" fillId="5" borderId="3" xfId="1" applyFont="1" applyFill="1" applyBorder="1"/>
    <xf numFmtId="9" fontId="6" fillId="5" borderId="3" xfId="2" applyFont="1" applyFill="1" applyBorder="1"/>
    <xf numFmtId="0" fontId="17" fillId="12" borderId="22" xfId="0" applyFont="1" applyFill="1" applyBorder="1"/>
    <xf numFmtId="0" fontId="17" fillId="12" borderId="23" xfId="0" applyFont="1" applyFill="1" applyBorder="1"/>
    <xf numFmtId="0" fontId="20" fillId="0" borderId="3" xfId="0" applyFont="1" applyBorder="1" applyAlignment="1">
      <alignment horizontal="center"/>
    </xf>
    <xf numFmtId="0" fontId="20" fillId="0" borderId="3" xfId="0" applyFont="1" applyBorder="1"/>
    <xf numFmtId="9" fontId="20" fillId="9" borderId="3" xfId="0" applyNumberFormat="1" applyFont="1" applyFill="1" applyBorder="1" applyAlignment="1">
      <alignment horizontal="right"/>
    </xf>
    <xf numFmtId="168" fontId="17" fillId="0" borderId="3" xfId="0" applyNumberFormat="1" applyFont="1" applyBorder="1" applyAlignment="1">
      <alignment horizontal="right"/>
    </xf>
    <xf numFmtId="0" fontId="21" fillId="14" borderId="1" xfId="3" applyFont="1" applyFill="1" applyBorder="1"/>
    <xf numFmtId="0" fontId="21" fillId="2" borderId="0" xfId="3" applyFont="1" applyBorder="1"/>
    <xf numFmtId="0" fontId="21" fillId="2" borderId="19" xfId="3" applyFont="1" applyBorder="1"/>
    <xf numFmtId="0" fontId="17" fillId="12" borderId="24" xfId="0" applyFont="1" applyFill="1" applyBorder="1"/>
    <xf numFmtId="0" fontId="20" fillId="0" borderId="22" xfId="0" applyFont="1" applyBorder="1"/>
    <xf numFmtId="0" fontId="20" fillId="0" borderId="7" xfId="0" applyFont="1" applyBorder="1" applyAlignment="1">
      <alignment horizontal="center"/>
    </xf>
    <xf numFmtId="0" fontId="20" fillId="0" borderId="24" xfId="0" applyFont="1" applyBorder="1"/>
    <xf numFmtId="0" fontId="17" fillId="13" borderId="17" xfId="0" applyFont="1" applyFill="1" applyBorder="1"/>
    <xf numFmtId="0" fontId="17" fillId="10" borderId="8" xfId="0" applyFont="1" applyFill="1" applyBorder="1"/>
    <xf numFmtId="0" fontId="17" fillId="13" borderId="23" xfId="0" applyFont="1" applyFill="1" applyBorder="1"/>
    <xf numFmtId="0" fontId="17" fillId="13" borderId="24" xfId="0" applyFont="1" applyFill="1" applyBorder="1"/>
    <xf numFmtId="44" fontId="17" fillId="0" borderId="22" xfId="1" applyFont="1" applyBorder="1" applyAlignment="1">
      <alignment horizontal="right"/>
    </xf>
    <xf numFmtId="44" fontId="17" fillId="10" borderId="8" xfId="1" applyFont="1" applyFill="1" applyBorder="1" applyAlignment="1">
      <alignment horizontal="right"/>
    </xf>
    <xf numFmtId="44" fontId="17" fillId="0" borderId="24" xfId="1" applyFont="1" applyBorder="1" applyAlignment="1">
      <alignment horizontal="right"/>
    </xf>
    <xf numFmtId="44" fontId="17" fillId="0" borderId="3" xfId="1" applyFont="1" applyBorder="1" applyAlignment="1">
      <alignment horizontal="right"/>
    </xf>
    <xf numFmtId="44" fontId="20" fillId="0" borderId="25" xfId="1" applyFont="1" applyBorder="1" applyAlignment="1">
      <alignment horizontal="right"/>
    </xf>
    <xf numFmtId="44" fontId="20" fillId="10" borderId="8" xfId="1" applyFont="1" applyFill="1" applyBorder="1" applyAlignment="1">
      <alignment horizontal="right"/>
    </xf>
    <xf numFmtId="0" fontId="22" fillId="14" borderId="30" xfId="0" applyFont="1" applyFill="1" applyBorder="1"/>
    <xf numFmtId="0" fontId="22" fillId="14" borderId="25" xfId="0" applyFont="1" applyFill="1" applyBorder="1"/>
    <xf numFmtId="37" fontId="17" fillId="10" borderId="8" xfId="0" applyNumberFormat="1" applyFont="1" applyFill="1" applyBorder="1" applyAlignment="1">
      <alignment horizontal="right"/>
    </xf>
    <xf numFmtId="0" fontId="22" fillId="14" borderId="31" xfId="0" applyFont="1" applyFill="1" applyBorder="1"/>
    <xf numFmtId="0" fontId="17" fillId="15" borderId="0" xfId="0" applyFont="1" applyFill="1" applyBorder="1"/>
    <xf numFmtId="0" fontId="17" fillId="15" borderId="19" xfId="0" applyFont="1" applyFill="1" applyBorder="1"/>
    <xf numFmtId="44" fontId="20" fillId="0" borderId="22" xfId="1" applyFont="1" applyBorder="1"/>
    <xf numFmtId="44" fontId="20" fillId="0" borderId="24" xfId="1" applyFont="1" applyBorder="1" applyAlignment="1">
      <alignment horizontal="right"/>
    </xf>
    <xf numFmtId="44" fontId="20" fillId="0" borderId="3" xfId="1" applyFont="1" applyBorder="1" applyAlignment="1">
      <alignment horizontal="right"/>
    </xf>
    <xf numFmtId="0" fontId="17" fillId="0" borderId="0" xfId="0" applyFont="1" applyBorder="1"/>
    <xf numFmtId="10" fontId="17" fillId="10" borderId="8" xfId="0" applyNumberFormat="1" applyFont="1" applyFill="1" applyBorder="1" applyAlignment="1">
      <alignment horizontal="right"/>
    </xf>
    <xf numFmtId="0" fontId="17" fillId="14" borderId="22" xfId="0" applyFont="1" applyFill="1" applyBorder="1"/>
    <xf numFmtId="0" fontId="17" fillId="14" borderId="23" xfId="0" applyFont="1" applyFill="1" applyBorder="1"/>
    <xf numFmtId="0" fontId="17" fillId="14" borderId="24" xfId="0" applyFont="1" applyFill="1" applyBorder="1"/>
    <xf numFmtId="0" fontId="17" fillId="14" borderId="0" xfId="0" applyFont="1" applyFill="1" applyBorder="1"/>
    <xf numFmtId="0" fontId="17" fillId="14" borderId="19" xfId="0" applyFont="1" applyFill="1" applyBorder="1"/>
    <xf numFmtId="0" fontId="17" fillId="0" borderId="25" xfId="0" applyFont="1" applyFill="1" applyBorder="1"/>
    <xf numFmtId="44" fontId="20" fillId="0" borderId="3" xfId="1" applyFont="1" applyFill="1" applyBorder="1" applyAlignment="1">
      <alignment horizontal="right"/>
    </xf>
    <xf numFmtId="0" fontId="15" fillId="15" borderId="22" xfId="0" applyFont="1" applyFill="1" applyBorder="1" applyAlignment="1">
      <alignment horizontal="left"/>
    </xf>
    <xf numFmtId="0" fontId="23" fillId="16" borderId="23" xfId="0" applyFont="1" applyFill="1" applyBorder="1" applyAlignment="1">
      <alignment horizontal="left"/>
    </xf>
    <xf numFmtId="0" fontId="23" fillId="15" borderId="23" xfId="0" applyFont="1" applyFill="1" applyBorder="1" applyAlignment="1">
      <alignment horizontal="left"/>
    </xf>
    <xf numFmtId="0" fontId="23" fillId="15" borderId="24" xfId="0" applyFont="1" applyFill="1" applyBorder="1" applyAlignment="1">
      <alignment horizontal="left"/>
    </xf>
    <xf numFmtId="0" fontId="17" fillId="15" borderId="22" xfId="0" applyFont="1" applyFill="1" applyBorder="1"/>
    <xf numFmtId="0" fontId="17" fillId="15" borderId="23" xfId="0" applyFont="1" applyFill="1" applyBorder="1"/>
    <xf numFmtId="0" fontId="17" fillId="15" borderId="24" xfId="0" applyFont="1" applyFill="1" applyBorder="1"/>
    <xf numFmtId="37" fontId="17" fillId="0" borderId="3" xfId="0" applyNumberFormat="1" applyFont="1" applyBorder="1"/>
    <xf numFmtId="10" fontId="20" fillId="0" borderId="3" xfId="0" applyNumberFormat="1" applyFont="1" applyBorder="1" applyAlignment="1">
      <alignment horizontal="right"/>
    </xf>
    <xf numFmtId="44" fontId="17" fillId="17" borderId="8" xfId="1" applyFont="1" applyFill="1" applyBorder="1" applyAlignment="1">
      <alignment horizontal="right"/>
    </xf>
    <xf numFmtId="10" fontId="20" fillId="10" borderId="8" xfId="0" applyNumberFormat="1" applyFont="1" applyFill="1" applyBorder="1" applyAlignment="1">
      <alignment horizontal="right"/>
    </xf>
    <xf numFmtId="0" fontId="17" fillId="14" borderId="30" xfId="0" applyFont="1" applyFill="1" applyBorder="1"/>
    <xf numFmtId="0" fontId="17" fillId="14" borderId="25" xfId="0" applyFont="1" applyFill="1" applyBorder="1"/>
    <xf numFmtId="37" fontId="17" fillId="14" borderId="25" xfId="0" applyNumberFormat="1" applyFont="1" applyFill="1" applyBorder="1"/>
    <xf numFmtId="37" fontId="17" fillId="10" borderId="8" xfId="0" applyNumberFormat="1" applyFont="1" applyFill="1" applyBorder="1"/>
    <xf numFmtId="37" fontId="17" fillId="14" borderId="31" xfId="0" applyNumberFormat="1" applyFont="1" applyFill="1" applyBorder="1"/>
    <xf numFmtId="0" fontId="20" fillId="0" borderId="34" xfId="0" applyFont="1" applyBorder="1"/>
    <xf numFmtId="0" fontId="17" fillId="0" borderId="29" xfId="0" applyFont="1" applyBorder="1"/>
    <xf numFmtId="0" fontId="17" fillId="0" borderId="26" xfId="0" applyFont="1" applyBorder="1"/>
    <xf numFmtId="9" fontId="20" fillId="10" borderId="8" xfId="0" applyNumberFormat="1" applyFont="1" applyFill="1" applyBorder="1" applyAlignment="1">
      <alignment horizontal="right"/>
    </xf>
    <xf numFmtId="9" fontId="20" fillId="0" borderId="27" xfId="0" applyNumberFormat="1" applyFont="1" applyBorder="1" applyAlignment="1">
      <alignment horizontal="right"/>
    </xf>
    <xf numFmtId="9" fontId="20" fillId="0" borderId="29" xfId="0" applyNumberFormat="1" applyFont="1" applyBorder="1" applyAlignment="1">
      <alignment horizontal="right"/>
    </xf>
    <xf numFmtId="9" fontId="20" fillId="0" borderId="35" xfId="0" applyNumberFormat="1" applyFont="1" applyBorder="1" applyAlignment="1">
      <alignment horizontal="right"/>
    </xf>
    <xf numFmtId="0" fontId="17" fillId="14" borderId="1" xfId="0" applyFont="1" applyFill="1" applyBorder="1"/>
    <xf numFmtId="3" fontId="17" fillId="17" borderId="8" xfId="0" applyNumberFormat="1" applyFont="1" applyFill="1" applyBorder="1" applyAlignment="1">
      <alignment horizontal="right"/>
    </xf>
    <xf numFmtId="3" fontId="17" fillId="14" borderId="0" xfId="0" applyNumberFormat="1" applyFont="1" applyFill="1" applyBorder="1" applyAlignment="1">
      <alignment horizontal="right"/>
    </xf>
    <xf numFmtId="3" fontId="17" fillId="14" borderId="19" xfId="0" applyNumberFormat="1" applyFont="1" applyFill="1" applyBorder="1" applyAlignment="1">
      <alignment horizontal="right"/>
    </xf>
    <xf numFmtId="0" fontId="17" fillId="0" borderId="3" xfId="0" applyFont="1" applyBorder="1"/>
    <xf numFmtId="44" fontId="17" fillId="17" borderId="9" xfId="1" applyFont="1" applyFill="1" applyBorder="1" applyAlignment="1">
      <alignment horizontal="right"/>
    </xf>
    <xf numFmtId="0" fontId="6" fillId="5" borderId="3" xfId="3" applyFont="1" applyFill="1" applyBorder="1" applyAlignment="1">
      <alignment horizontal="right"/>
    </xf>
    <xf numFmtId="0" fontId="6" fillId="2" borderId="1" xfId="3" applyFont="1" applyBorder="1" applyAlignment="1">
      <alignment horizontal="right"/>
    </xf>
    <xf numFmtId="0" fontId="19" fillId="12" borderId="22" xfId="3" applyFont="1" applyFill="1" applyBorder="1" applyAlignment="1">
      <alignment horizontal="left"/>
    </xf>
    <xf numFmtId="0" fontId="19" fillId="12" borderId="23" xfId="3" applyFont="1" applyFill="1" applyBorder="1" applyAlignment="1"/>
    <xf numFmtId="0" fontId="19" fillId="12" borderId="24" xfId="3" applyFont="1" applyFill="1" applyBorder="1" applyAlignment="1"/>
    <xf numFmtId="44" fontId="6" fillId="8" borderId="3" xfId="1" applyFont="1" applyFill="1" applyBorder="1" applyAlignment="1" applyProtection="1">
      <alignment horizontal="right"/>
    </xf>
    <xf numFmtId="44" fontId="6" fillId="3" borderId="3" xfId="2" applyNumberFormat="1" applyFont="1" applyFill="1" applyBorder="1" applyAlignment="1">
      <alignment horizontal="right"/>
    </xf>
    <xf numFmtId="10" fontId="3" fillId="3" borderId="3" xfId="3" applyNumberFormat="1" applyFont="1" applyFill="1" applyBorder="1" applyAlignment="1">
      <alignment horizontal="right"/>
    </xf>
    <xf numFmtId="10" fontId="3" fillId="3" borderId="3" xfId="2" applyNumberFormat="1" applyFont="1" applyFill="1" applyBorder="1" applyAlignment="1">
      <alignment horizontal="right"/>
    </xf>
    <xf numFmtId="8" fontId="17" fillId="0" borderId="3" xfId="1" applyNumberFormat="1" applyFont="1" applyBorder="1" applyAlignment="1">
      <alignment horizontal="right"/>
    </xf>
    <xf numFmtId="44" fontId="31" fillId="18" borderId="3" xfId="1" applyFont="1" applyFill="1" applyBorder="1" applyAlignment="1"/>
    <xf numFmtId="0" fontId="32" fillId="18" borderId="3" xfId="0" applyFont="1" applyFill="1" applyBorder="1" applyAlignment="1"/>
    <xf numFmtId="44" fontId="31" fillId="18" borderId="3" xfId="0" applyNumberFormat="1" applyFont="1" applyFill="1" applyBorder="1" applyAlignment="1"/>
    <xf numFmtId="10" fontId="31" fillId="18" borderId="3" xfId="0" applyNumberFormat="1" applyFont="1" applyFill="1" applyBorder="1" applyAlignment="1"/>
    <xf numFmtId="2" fontId="31" fillId="18" borderId="3" xfId="0" applyNumberFormat="1" applyFont="1" applyFill="1" applyBorder="1" applyAlignment="1"/>
    <xf numFmtId="0" fontId="27" fillId="0" borderId="3" xfId="0" applyFont="1" applyBorder="1"/>
    <xf numFmtId="170" fontId="27" fillId="0" borderId="3" xfId="0" applyNumberFormat="1" applyFont="1" applyBorder="1" applyAlignment="1"/>
    <xf numFmtId="0" fontId="29" fillId="0" borderId="3" xfId="0" applyFont="1" applyBorder="1"/>
    <xf numFmtId="170" fontId="29" fillId="0" borderId="3" xfId="0" applyNumberFormat="1" applyFont="1" applyBorder="1" applyAlignment="1"/>
    <xf numFmtId="169" fontId="27" fillId="0" borderId="3" xfId="0" applyNumberFormat="1" applyFont="1" applyBorder="1" applyAlignment="1">
      <alignment horizontal="right"/>
    </xf>
    <xf numFmtId="0" fontId="27" fillId="0" borderId="3" xfId="0" applyFont="1" applyBorder="1" applyAlignment="1">
      <alignment horizontal="right"/>
    </xf>
    <xf numFmtId="10" fontId="27" fillId="0" borderId="3" xfId="0" applyNumberFormat="1" applyFont="1" applyBorder="1" applyAlignment="1">
      <alignment horizontal="right"/>
    </xf>
    <xf numFmtId="8" fontId="28" fillId="0" borderId="3" xfId="0" applyNumberFormat="1" applyFont="1" applyBorder="1"/>
    <xf numFmtId="169" fontId="27" fillId="0" borderId="3" xfId="0" applyNumberFormat="1" applyFont="1" applyBorder="1" applyAlignment="1"/>
    <xf numFmtId="169" fontId="29" fillId="0" borderId="3" xfId="0" applyNumberFormat="1" applyFont="1" applyBorder="1" applyAlignment="1"/>
    <xf numFmtId="0" fontId="8" fillId="0" borderId="3" xfId="3" applyFont="1" applyFill="1" applyBorder="1" applyAlignment="1">
      <alignment horizontal="center" vertical="center"/>
    </xf>
    <xf numFmtId="0" fontId="0" fillId="0" borderId="1" xfId="0" applyBorder="1"/>
    <xf numFmtId="0" fontId="0" fillId="0" borderId="19" xfId="0" applyBorder="1"/>
    <xf numFmtId="0" fontId="14" fillId="0" borderId="19" xfId="0" applyFont="1" applyBorder="1"/>
    <xf numFmtId="0" fontId="27" fillId="0" borderId="19" xfId="0" applyFont="1" applyBorder="1"/>
    <xf numFmtId="0" fontId="28" fillId="0" borderId="19" xfId="0" applyFont="1" applyBorder="1" applyAlignment="1"/>
    <xf numFmtId="0" fontId="28" fillId="0" borderId="19" xfId="0" applyFont="1" applyBorder="1"/>
    <xf numFmtId="169" fontId="27" fillId="0" borderId="19" xfId="0" applyNumberFormat="1" applyFont="1" applyBorder="1"/>
    <xf numFmtId="0" fontId="27" fillId="0" borderId="19" xfId="0" applyFont="1" applyBorder="1" applyAlignment="1"/>
    <xf numFmtId="169" fontId="29" fillId="0" borderId="19" xfId="0" applyNumberFormat="1" applyFont="1" applyBorder="1"/>
    <xf numFmtId="0" fontId="5" fillId="0" borderId="19" xfId="0" applyFont="1" applyBorder="1"/>
    <xf numFmtId="0" fontId="27" fillId="0" borderId="1" xfId="0" applyFont="1" applyBorder="1"/>
    <xf numFmtId="0" fontId="0" fillId="0" borderId="21" xfId="0" applyBorder="1"/>
    <xf numFmtId="0" fontId="0" fillId="0" borderId="16" xfId="0" applyBorder="1"/>
    <xf numFmtId="0" fontId="0" fillId="0" borderId="18" xfId="0" applyBorder="1"/>
    <xf numFmtId="0" fontId="14" fillId="0" borderId="1" xfId="0" applyFont="1" applyBorder="1"/>
    <xf numFmtId="169" fontId="27" fillId="0" borderId="1" xfId="0" applyNumberFormat="1" applyFont="1" applyBorder="1" applyAlignment="1">
      <alignment horizontal="right"/>
    </xf>
    <xf numFmtId="169" fontId="27" fillId="0" borderId="1" xfId="0" applyNumberFormat="1" applyFont="1" applyBorder="1" applyAlignment="1"/>
    <xf numFmtId="170" fontId="27" fillId="0" borderId="1" xfId="0" applyNumberFormat="1" applyFont="1" applyBorder="1" applyAlignment="1"/>
    <xf numFmtId="0" fontId="30" fillId="0" borderId="1" xfId="0" applyFont="1" applyBorder="1"/>
    <xf numFmtId="0" fontId="5" fillId="0" borderId="1" xfId="0" applyFont="1" applyBorder="1"/>
    <xf numFmtId="0" fontId="0" fillId="0" borderId="20" xfId="0" applyBorder="1"/>
    <xf numFmtId="44" fontId="31" fillId="19" borderId="7" xfId="1" applyFont="1" applyFill="1" applyBorder="1" applyAlignment="1"/>
    <xf numFmtId="0" fontId="28" fillId="14" borderId="8" xfId="0" applyFont="1" applyFill="1" applyBorder="1" applyAlignment="1"/>
    <xf numFmtId="44" fontId="26" fillId="14" borderId="0" xfId="1" applyFont="1" applyFill="1" applyBorder="1" applyAlignment="1"/>
    <xf numFmtId="44" fontId="26" fillId="14" borderId="8" xfId="1" applyFont="1" applyFill="1" applyBorder="1" applyAlignment="1"/>
    <xf numFmtId="0" fontId="0" fillId="14" borderId="0" xfId="0" applyFill="1" applyBorder="1"/>
    <xf numFmtId="0" fontId="14" fillId="14" borderId="0" xfId="0" applyFont="1" applyFill="1" applyBorder="1"/>
    <xf numFmtId="0" fontId="27" fillId="14" borderId="0" xfId="0" applyFont="1" applyFill="1" applyBorder="1"/>
    <xf numFmtId="0" fontId="28" fillId="14" borderId="0" xfId="0" applyFont="1" applyFill="1" applyBorder="1" applyAlignment="1"/>
    <xf numFmtId="0" fontId="28" fillId="14" borderId="0" xfId="0" applyFont="1" applyFill="1" applyBorder="1"/>
    <xf numFmtId="0" fontId="5" fillId="14" borderId="0" xfId="0" applyFont="1" applyFill="1" applyBorder="1"/>
    <xf numFmtId="0" fontId="0" fillId="14" borderId="2" xfId="0" applyFill="1" applyBorder="1"/>
    <xf numFmtId="0" fontId="0" fillId="14" borderId="1" xfId="0" applyFill="1" applyBorder="1"/>
    <xf numFmtId="0" fontId="0" fillId="14" borderId="19" xfId="0" applyFill="1" applyBorder="1"/>
    <xf numFmtId="0" fontId="0" fillId="14" borderId="22" xfId="0" applyFill="1" applyBorder="1"/>
    <xf numFmtId="0" fontId="0" fillId="14" borderId="23" xfId="0" applyFill="1" applyBorder="1"/>
    <xf numFmtId="0" fontId="0" fillId="14" borderId="24" xfId="0" applyFill="1" applyBorder="1"/>
    <xf numFmtId="0" fontId="17" fillId="14" borderId="20" xfId="0" applyFont="1" applyFill="1" applyBorder="1"/>
    <xf numFmtId="14" fontId="17" fillId="14" borderId="2" xfId="0" applyNumberFormat="1" applyFont="1" applyFill="1" applyBorder="1" applyAlignment="1">
      <alignment horizontal="right"/>
    </xf>
    <xf numFmtId="0" fontId="0" fillId="14" borderId="21" xfId="0" applyFill="1" applyBorder="1"/>
    <xf numFmtId="0" fontId="0" fillId="14" borderId="0" xfId="0" applyFill="1"/>
    <xf numFmtId="0" fontId="24" fillId="14" borderId="0" xfId="0" applyFont="1" applyFill="1" applyBorder="1" applyAlignment="1">
      <alignment horizontal="right"/>
    </xf>
    <xf numFmtId="0" fontId="26" fillId="14" borderId="0" xfId="0" applyFont="1" applyFill="1" applyBorder="1" applyAlignment="1"/>
    <xf numFmtId="2" fontId="26" fillId="14" borderId="0" xfId="0" applyNumberFormat="1" applyFont="1" applyFill="1" applyBorder="1" applyAlignment="1"/>
    <xf numFmtId="0" fontId="12" fillId="19" borderId="0" xfId="0" applyFont="1" applyFill="1" applyBorder="1"/>
    <xf numFmtId="0" fontId="5" fillId="14" borderId="0" xfId="0" applyFont="1" applyFill="1"/>
    <xf numFmtId="0" fontId="27" fillId="14" borderId="0" xfId="0" applyFont="1" applyFill="1"/>
    <xf numFmtId="169" fontId="27" fillId="14" borderId="0" xfId="0" applyNumberFormat="1" applyFont="1" applyFill="1" applyAlignment="1"/>
    <xf numFmtId="0" fontId="27" fillId="12" borderId="20" xfId="0" applyFont="1" applyFill="1" applyBorder="1"/>
    <xf numFmtId="14" fontId="27" fillId="12" borderId="21" xfId="0" applyNumberFormat="1" applyFont="1" applyFill="1" applyBorder="1" applyAlignment="1">
      <alignment horizontal="right"/>
    </xf>
    <xf numFmtId="10" fontId="20" fillId="10" borderId="8" xfId="1" applyNumberFormat="1" applyFont="1" applyFill="1" applyBorder="1" applyAlignment="1">
      <alignment horizontal="right"/>
    </xf>
    <xf numFmtId="10" fontId="20" fillId="0" borderId="3" xfId="1" applyNumberFormat="1" applyFont="1" applyBorder="1" applyAlignment="1">
      <alignment horizontal="right"/>
    </xf>
    <xf numFmtId="8" fontId="6" fillId="8" borderId="3" xfId="1" applyNumberFormat="1" applyFont="1" applyFill="1" applyBorder="1" applyProtection="1"/>
    <xf numFmtId="44" fontId="6" fillId="8" borderId="3" xfId="1" applyFont="1" applyFill="1" applyBorder="1" applyProtection="1"/>
    <xf numFmtId="0" fontId="6" fillId="0" borderId="3" xfId="3" applyFont="1" applyFill="1" applyBorder="1" applyAlignment="1">
      <alignment horizontal="left"/>
    </xf>
    <xf numFmtId="0" fontId="27" fillId="14" borderId="1" xfId="0" applyFont="1" applyFill="1" applyBorder="1"/>
    <xf numFmtId="0" fontId="17" fillId="0" borderId="36" xfId="3" applyFont="1" applyFill="1" applyBorder="1"/>
    <xf numFmtId="0" fontId="6" fillId="0" borderId="9" xfId="3" applyFont="1" applyFill="1" applyBorder="1"/>
    <xf numFmtId="0" fontId="6" fillId="0" borderId="9" xfId="3" applyFont="1" applyFill="1" applyBorder="1" applyAlignment="1">
      <alignment horizontal="right"/>
    </xf>
    <xf numFmtId="44" fontId="6" fillId="3" borderId="9" xfId="1" applyFont="1" applyFill="1" applyBorder="1"/>
    <xf numFmtId="0" fontId="6" fillId="0" borderId="9" xfId="3" applyFont="1" applyFill="1" applyBorder="1" applyAlignment="1">
      <alignment horizontal="left"/>
    </xf>
    <xf numFmtId="0" fontId="17" fillId="0" borderId="22" xfId="0" applyFont="1" applyBorder="1" applyAlignment="1">
      <alignment horizontal="left"/>
    </xf>
    <xf numFmtId="0" fontId="17" fillId="0" borderId="23" xfId="0" applyFont="1" applyBorder="1" applyAlignment="1">
      <alignment horizontal="left"/>
    </xf>
    <xf numFmtId="0" fontId="17" fillId="0" borderId="24" xfId="0" applyFont="1" applyBorder="1" applyAlignment="1">
      <alignment horizontal="left"/>
    </xf>
    <xf numFmtId="0" fontId="7" fillId="0" borderId="22" xfId="3" applyFont="1" applyFill="1" applyBorder="1" applyAlignment="1">
      <alignment horizontal="center" vertical="center"/>
    </xf>
    <xf numFmtId="0" fontId="7" fillId="0" borderId="23" xfId="3" applyFont="1" applyFill="1" applyBorder="1" applyAlignment="1">
      <alignment horizontal="center" vertical="center"/>
    </xf>
    <xf numFmtId="0" fontId="7" fillId="0" borderId="24" xfId="3" applyFont="1" applyFill="1" applyBorder="1" applyAlignment="1">
      <alignment horizontal="center" vertical="center"/>
    </xf>
    <xf numFmtId="0" fontId="20" fillId="0" borderId="3" xfId="0" applyFont="1" applyBorder="1" applyAlignment="1">
      <alignment horizontal="left"/>
    </xf>
    <xf numFmtId="0" fontId="17" fillId="0" borderId="3" xfId="0" applyFont="1" applyFill="1" applyBorder="1" applyAlignment="1">
      <alignment horizontal="left"/>
    </xf>
    <xf numFmtId="0" fontId="17" fillId="0" borderId="7" xfId="0" applyFont="1" applyBorder="1" applyAlignment="1">
      <alignment horizontal="left"/>
    </xf>
    <xf numFmtId="0" fontId="17" fillId="14" borderId="1" xfId="0" applyFont="1" applyFill="1" applyBorder="1" applyAlignment="1">
      <alignment horizontal="center"/>
    </xf>
    <xf numFmtId="0" fontId="17" fillId="14" borderId="0" xfId="0" applyFont="1" applyFill="1" applyBorder="1" applyAlignment="1">
      <alignment horizontal="center"/>
    </xf>
    <xf numFmtId="0" fontId="17" fillId="14" borderId="33" xfId="0" applyFont="1" applyFill="1" applyBorder="1" applyAlignment="1">
      <alignment horizontal="center"/>
    </xf>
    <xf numFmtId="0" fontId="20" fillId="0" borderId="9" xfId="0" applyFont="1" applyFill="1" applyBorder="1" applyAlignment="1">
      <alignment horizontal="left"/>
    </xf>
    <xf numFmtId="0" fontId="17" fillId="0" borderId="3" xfId="0" applyFont="1" applyBorder="1" applyAlignment="1">
      <alignment horizontal="left"/>
    </xf>
    <xf numFmtId="0" fontId="15" fillId="13" borderId="16" xfId="0" applyFont="1" applyFill="1" applyBorder="1" applyAlignment="1">
      <alignment horizontal="left"/>
    </xf>
    <xf numFmtId="0" fontId="15" fillId="13" borderId="17" xfId="0" applyFont="1" applyFill="1" applyBorder="1" applyAlignment="1">
      <alignment horizontal="left"/>
    </xf>
    <xf numFmtId="0" fontId="15" fillId="15" borderId="32" xfId="0" applyFont="1" applyFill="1" applyBorder="1" applyAlignment="1">
      <alignment horizontal="left"/>
    </xf>
    <xf numFmtId="0" fontId="15" fillId="15" borderId="28" xfId="0" applyFont="1" applyFill="1" applyBorder="1" applyAlignment="1">
      <alignment horizontal="left"/>
    </xf>
    <xf numFmtId="0" fontId="20" fillId="0" borderId="22" xfId="0" applyFont="1" applyBorder="1" applyAlignment="1">
      <alignment horizontal="left"/>
    </xf>
    <xf numFmtId="0" fontId="20" fillId="0" borderId="23" xfId="0" applyFont="1" applyBorder="1" applyAlignment="1">
      <alignment horizontal="left"/>
    </xf>
    <xf numFmtId="0" fontId="20" fillId="0" borderId="24" xfId="0" applyFont="1" applyBorder="1" applyAlignment="1">
      <alignment horizontal="left"/>
    </xf>
    <xf numFmtId="0" fontId="6" fillId="0" borderId="3" xfId="3" applyFont="1" applyFill="1" applyBorder="1" applyAlignment="1">
      <alignment horizontal="left"/>
    </xf>
    <xf numFmtId="0" fontId="7" fillId="0" borderId="3" xfId="3" applyFont="1" applyFill="1" applyBorder="1" applyAlignment="1">
      <alignment horizontal="center" vertical="center"/>
    </xf>
    <xf numFmtId="0" fontId="17" fillId="0" borderId="3" xfId="0" applyFont="1" applyBorder="1"/>
    <xf numFmtId="0" fontId="6" fillId="2" borderId="37" xfId="3" applyFont="1" applyBorder="1" applyAlignment="1">
      <alignment horizontal="center"/>
    </xf>
    <xf numFmtId="0" fontId="6" fillId="2" borderId="38" xfId="3" applyFont="1" applyBorder="1" applyAlignment="1">
      <alignment horizontal="center"/>
    </xf>
    <xf numFmtId="0" fontId="6" fillId="2" borderId="39" xfId="3" applyFont="1" applyBorder="1" applyAlignment="1">
      <alignment horizontal="center"/>
    </xf>
    <xf numFmtId="0" fontId="6" fillId="2" borderId="16" xfId="3" applyFont="1" applyBorder="1" applyAlignment="1">
      <alignment horizontal="center"/>
    </xf>
    <xf numFmtId="0" fontId="6" fillId="2" borderId="17" xfId="3" applyFont="1" applyBorder="1" applyAlignment="1">
      <alignment horizontal="center"/>
    </xf>
    <xf numFmtId="0" fontId="6" fillId="2" borderId="18" xfId="3" applyFont="1" applyBorder="1" applyAlignment="1">
      <alignment horizontal="center"/>
    </xf>
    <xf numFmtId="0" fontId="18" fillId="2" borderId="22" xfId="3" applyFont="1" applyBorder="1" applyAlignment="1">
      <alignment horizontal="center"/>
    </xf>
    <xf numFmtId="0" fontId="18" fillId="2" borderId="23" xfId="3" applyFont="1" applyBorder="1" applyAlignment="1">
      <alignment horizontal="center"/>
    </xf>
    <xf numFmtId="0" fontId="18" fillId="2" borderId="24" xfId="3" applyFont="1" applyBorder="1" applyAlignment="1">
      <alignment horizontal="center"/>
    </xf>
    <xf numFmtId="0" fontId="6" fillId="2" borderId="20" xfId="3" applyFont="1" applyBorder="1" applyAlignment="1">
      <alignment horizontal="center"/>
    </xf>
    <xf numFmtId="0" fontId="6" fillId="2" borderId="2" xfId="3" applyFont="1" applyBorder="1" applyAlignment="1">
      <alignment horizontal="center"/>
    </xf>
    <xf numFmtId="0" fontId="6" fillId="2" borderId="21" xfId="3" applyFont="1" applyBorder="1" applyAlignment="1">
      <alignment horizontal="center"/>
    </xf>
    <xf numFmtId="0" fontId="6" fillId="2" borderId="22" xfId="3" applyFont="1" applyBorder="1" applyAlignment="1">
      <alignment horizontal="center"/>
    </xf>
    <xf numFmtId="0" fontId="6" fillId="2" borderId="23" xfId="3" applyFont="1" applyBorder="1" applyAlignment="1">
      <alignment horizontal="center"/>
    </xf>
    <xf numFmtId="0" fontId="6" fillId="2" borderId="24" xfId="3" applyFont="1" applyBorder="1" applyAlignment="1">
      <alignment horizontal="center"/>
    </xf>
    <xf numFmtId="0" fontId="6" fillId="2" borderId="1" xfId="3" applyFont="1" applyBorder="1" applyAlignment="1">
      <alignment horizontal="center"/>
    </xf>
    <xf numFmtId="0" fontId="6" fillId="2" borderId="0" xfId="3" applyFont="1" applyBorder="1" applyAlignment="1">
      <alignment horizontal="center"/>
    </xf>
    <xf numFmtId="0" fontId="6" fillId="2" borderId="19" xfId="3" applyFont="1" applyBorder="1" applyAlignment="1">
      <alignment horizontal="center"/>
    </xf>
    <xf numFmtId="0" fontId="25" fillId="12" borderId="22" xfId="0" applyFont="1" applyFill="1" applyBorder="1" applyAlignment="1">
      <alignment horizontal="left"/>
    </xf>
    <xf numFmtId="0" fontId="25" fillId="12" borderId="23" xfId="0" applyFont="1" applyFill="1" applyBorder="1" applyAlignment="1">
      <alignment horizontal="left"/>
    </xf>
    <xf numFmtId="0" fontId="25" fillId="12" borderId="24" xfId="0" applyFont="1" applyFill="1" applyBorder="1" applyAlignment="1">
      <alignment horizontal="left"/>
    </xf>
    <xf numFmtId="0" fontId="8" fillId="0" borderId="3" xfId="3" applyFont="1" applyFill="1" applyBorder="1" applyAlignment="1">
      <alignment horizontal="center" vertical="center"/>
    </xf>
    <xf numFmtId="0" fontId="33" fillId="0" borderId="3" xfId="0" applyFont="1" applyBorder="1" applyAlignment="1">
      <alignment horizontal="center"/>
    </xf>
  </cellXfs>
  <cellStyles count="6">
    <cellStyle name="Currency" xfId="1" builtinId="4"/>
    <cellStyle name="Currency 2" xfId="5" xr:uid="{648175FB-D06E-BE4A-B654-BC327D660818}"/>
    <cellStyle name="Normal" xfId="0" builtinId="0"/>
    <cellStyle name="Normal 2" xfId="3" xr:uid="{B0ADD861-AE2A-5A46-8B69-1B6590AEF722}"/>
    <cellStyle name="Percent" xfId="2" builtinId="5"/>
    <cellStyle name="Percent 2" xfId="4" xr:uid="{EBD40900-035A-8C48-9AB0-1ACDF2D9CD5C}"/>
  </cellStyles>
  <dxfs count="13">
    <dxf>
      <font>
        <color rgb="FF00B050"/>
      </font>
    </dxf>
    <dxf>
      <font>
        <color rgb="FF00B0F0"/>
      </font>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fgColor rgb="FFF4C7C3"/>
          <bgColor rgb="FFF4C7C3"/>
        </patternFill>
      </fill>
    </dxf>
    <dxf>
      <font>
        <color rgb="FFC53929"/>
      </font>
      <fill>
        <patternFill patternType="none"/>
      </fill>
    </dxf>
    <dxf>
      <fill>
        <patternFill patternType="solid">
          <fgColor rgb="FFB7E1CD"/>
          <bgColor rgb="FFB7E1CD"/>
        </patternFill>
      </fill>
    </dxf>
    <dxf>
      <fill>
        <patternFill patternType="solid">
          <fgColor rgb="FFF4C7C3"/>
          <bgColor rgb="FFF4C7C3"/>
        </patternFill>
      </fill>
    </dxf>
    <dxf>
      <font>
        <color rgb="FFC53929"/>
      </font>
      <fill>
        <patternFill patternType="none"/>
      </fill>
    </dxf>
    <dxf>
      <fill>
        <patternFill patternType="solid">
          <fgColor rgb="FFB7E1CD"/>
          <bgColor rgb="FFB7E1CD"/>
        </patternFill>
      </fill>
    </dxf>
  </dxfs>
  <tableStyles count="0" defaultTableStyle="TableStyleMedium2" defaultPivotStyle="PivotStyleLight16"/>
  <colors>
    <mruColors>
      <color rgb="FFD1CECE"/>
      <color rgb="FFCCFFCC"/>
      <color rgb="FFFFFF9A"/>
      <color rgb="FFE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baseline="0">
                <a:solidFill>
                  <a:schemeClr val="dk1">
                    <a:lumMod val="75000"/>
                    <a:lumOff val="25000"/>
                  </a:schemeClr>
                </a:solidFill>
                <a:latin typeface="+mn-lt"/>
                <a:ea typeface="+mn-ea"/>
                <a:cs typeface="+mn-cs"/>
              </a:defRPr>
            </a:pPr>
            <a:r>
              <a:rPr lang="en-US" sz="2400"/>
              <a:t>Monthly Expenses</a:t>
            </a:r>
          </a:p>
        </c:rich>
      </c:tx>
      <c:layout>
        <c:manualLayout>
          <c:xMode val="edge"/>
          <c:yMode val="edge"/>
          <c:x val="0.16745257695060844"/>
          <c:y val="2.5936599423631124E-2"/>
        </c:manualLayout>
      </c:layout>
      <c:overlay val="0"/>
      <c:spPr>
        <a:noFill/>
        <a:ln>
          <a:noFill/>
        </a:ln>
        <a:effectLst/>
      </c:spPr>
      <c:txPr>
        <a:bodyPr rot="0" spcFirstLastPara="1" vertOverflow="ellipsis" vert="horz" wrap="square" anchor="ctr" anchorCtr="1"/>
        <a:lstStyle/>
        <a:p>
          <a:pPr>
            <a:defRPr sz="24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F4A6-934F-B8F6-0E60914210FB}"/>
              </c:ext>
            </c:extLst>
          </c:dPt>
          <c:dPt>
            <c:idx val="1"/>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F4A6-934F-B8F6-0E60914210FB}"/>
              </c:ext>
            </c:extLst>
          </c:dPt>
          <c:dPt>
            <c:idx val="2"/>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F4A6-934F-B8F6-0E60914210FB}"/>
              </c:ext>
            </c:extLst>
          </c:dPt>
          <c:dPt>
            <c:idx val="3"/>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8-F4A6-934F-B8F6-0E60914210FB}"/>
              </c:ext>
            </c:extLst>
          </c:dPt>
          <c:dPt>
            <c:idx val="4"/>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A-F4A6-934F-B8F6-0E60914210FB}"/>
              </c:ext>
            </c:extLst>
          </c:dPt>
          <c:dPt>
            <c:idx val="5"/>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F4A6-934F-B8F6-0E60914210FB}"/>
              </c:ext>
            </c:extLst>
          </c:dPt>
          <c:dPt>
            <c:idx val="6"/>
            <c:bubble3D val="0"/>
            <c:spPr>
              <a:solidFill>
                <a:schemeClr val="accent6">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C-F4A6-934F-B8F6-0E60914210FB}"/>
              </c:ext>
            </c:extLst>
          </c:dPt>
          <c:dPt>
            <c:idx val="7"/>
            <c:bubble3D val="0"/>
            <c:spPr>
              <a:solidFill>
                <a:schemeClr val="accent5">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F4A6-934F-B8F6-0E60914210FB}"/>
              </c:ext>
            </c:extLst>
          </c:dPt>
          <c:dPt>
            <c:idx val="8"/>
            <c:bubble3D val="0"/>
            <c:spPr>
              <a:solidFill>
                <a:schemeClr val="accent4">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F4A6-934F-B8F6-0E60914210FB}"/>
              </c:ext>
            </c:extLst>
          </c:dPt>
          <c:dPt>
            <c:idx val="9"/>
            <c:bubble3D val="0"/>
            <c:spPr>
              <a:solidFill>
                <a:schemeClr val="accent6">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F4A6-934F-B8F6-0E60914210FB}"/>
              </c:ext>
            </c:extLst>
          </c:dPt>
          <c:dPt>
            <c:idx val="10"/>
            <c:bubble3D val="0"/>
            <c:spPr>
              <a:solidFill>
                <a:schemeClr val="accent5">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4A6-934F-B8F6-0E60914210FB}"/>
              </c:ext>
            </c:extLst>
          </c:dPt>
          <c:dPt>
            <c:idx val="11"/>
            <c:bubble3D val="0"/>
            <c:spPr>
              <a:solidFill>
                <a:schemeClr val="accent4">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F4A6-934F-B8F6-0E60914210FB}"/>
              </c:ext>
            </c:extLst>
          </c:dPt>
          <c:dPt>
            <c:idx val="12"/>
            <c:bubble3D val="0"/>
            <c:spPr>
              <a:solidFill>
                <a:schemeClr val="accent6">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F4A6-934F-B8F6-0E60914210FB}"/>
              </c:ext>
            </c:extLst>
          </c:dPt>
          <c:dPt>
            <c:idx val="13"/>
            <c:bubble3D val="0"/>
            <c:spPr>
              <a:solidFill>
                <a:schemeClr val="accent5">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4A6-934F-B8F6-0E60914210FB}"/>
              </c:ext>
            </c:extLst>
          </c:dPt>
          <c:dLbls>
            <c:dLbl>
              <c:idx val="1"/>
              <c:layout>
                <c:manualLayout>
                  <c:x val="5.2484937962300166E-2"/>
                  <c:y val="-0.1059361455898705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4A6-934F-B8F6-0E60914210FB}"/>
                </c:ext>
              </c:extLst>
            </c:dLbl>
            <c:dLbl>
              <c:idx val="13"/>
              <c:layout>
                <c:manualLayout>
                  <c:x val="0.12067898472918158"/>
                  <c:y val="0.1669234609362590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4A6-934F-B8F6-0E60914210FB}"/>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'Rental Property Analysis'!$B$28:$B$41</c:f>
              <c:strCache>
                <c:ptCount val="14"/>
                <c:pt idx="0">
                  <c:v>Property Taxes</c:v>
                </c:pt>
                <c:pt idx="1">
                  <c:v>Insurance</c:v>
                </c:pt>
                <c:pt idx="2">
                  <c:v>Gas</c:v>
                </c:pt>
                <c:pt idx="3">
                  <c:v>Water &amp; Sewer</c:v>
                </c:pt>
                <c:pt idx="4">
                  <c:v>Cable/Internet</c:v>
                </c:pt>
                <c:pt idx="5">
                  <c:v>Electricity</c:v>
                </c:pt>
                <c:pt idx="6">
                  <c:v>Garbage</c:v>
                </c:pt>
                <c:pt idx="7">
                  <c:v>Security</c:v>
                </c:pt>
                <c:pt idx="8">
                  <c:v>HOA Fees</c:v>
                </c:pt>
                <c:pt idx="9">
                  <c:v>Other Expenses</c:v>
                </c:pt>
                <c:pt idx="10">
                  <c:v>Capiital Expenditures</c:v>
                </c:pt>
                <c:pt idx="11">
                  <c:v>Property Management Fees</c:v>
                </c:pt>
                <c:pt idx="12">
                  <c:v>Repairs &amp; Building Maintenance</c:v>
                </c:pt>
                <c:pt idx="13">
                  <c:v>Vacancy Allowance </c:v>
                </c:pt>
              </c:strCache>
            </c:strRef>
          </c:cat>
          <c:val>
            <c:numRef>
              <c:f>'Rental Property Analysis'!$E$28:$E$41</c:f>
              <c:numCache>
                <c:formatCode>_("$"* #,##0.00_);_("$"* \(#,##0.00\);_("$"* "-"??_);_(@_)</c:formatCode>
                <c:ptCount val="14"/>
                <c:pt idx="0">
                  <c:v>333.33333333333331</c:v>
                </c:pt>
                <c:pt idx="1">
                  <c:v>75</c:v>
                </c:pt>
                <c:pt idx="2">
                  <c:v>0</c:v>
                </c:pt>
                <c:pt idx="3">
                  <c:v>0</c:v>
                </c:pt>
                <c:pt idx="4">
                  <c:v>0</c:v>
                </c:pt>
                <c:pt idx="5">
                  <c:v>0</c:v>
                </c:pt>
                <c:pt idx="6">
                  <c:v>0</c:v>
                </c:pt>
                <c:pt idx="7">
                  <c:v>0</c:v>
                </c:pt>
                <c:pt idx="8">
                  <c:v>0</c:v>
                </c:pt>
                <c:pt idx="9">
                  <c:v>0</c:v>
                </c:pt>
                <c:pt idx="10">
                  <c:v>124.25000000000001</c:v>
                </c:pt>
                <c:pt idx="11">
                  <c:v>0</c:v>
                </c:pt>
                <c:pt idx="12">
                  <c:v>124.25000000000001</c:v>
                </c:pt>
                <c:pt idx="13">
                  <c:v>88.75</c:v>
                </c:pt>
              </c:numCache>
            </c:numRef>
          </c:val>
          <c:extLst>
            <c:ext xmlns:c16="http://schemas.microsoft.com/office/drawing/2014/chart" uri="{C3380CC4-5D6E-409C-BE32-E72D297353CC}">
              <c16:uniqueId val="{00000000-F4A6-934F-B8F6-0E60914210F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4597992722500606"/>
          <c:y val="0"/>
          <c:w val="0.25212613338105466"/>
          <c:h val="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Cash</a:t>
            </a:r>
            <a:r>
              <a:rPr lang="en-US" baseline="0"/>
              <a:t> Flow Over 30 Years</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'Rental Property Analysis'!$P$7:$V$7</c:f>
              <c:strCache>
                <c:ptCount val="7"/>
                <c:pt idx="0">
                  <c:v>Year 1</c:v>
                </c:pt>
                <c:pt idx="1">
                  <c:v>Year 2</c:v>
                </c:pt>
                <c:pt idx="2">
                  <c:v>Year 5</c:v>
                </c:pt>
                <c:pt idx="3">
                  <c:v>Year 10</c:v>
                </c:pt>
                <c:pt idx="4">
                  <c:v>Year 15</c:v>
                </c:pt>
                <c:pt idx="5">
                  <c:v>Year 20</c:v>
                </c:pt>
                <c:pt idx="6">
                  <c:v>Year 30</c:v>
                </c:pt>
              </c:strCache>
            </c:strRef>
          </c:cat>
          <c:val>
            <c:numRef>
              <c:f>'Rental Property Analysis'!$P$36:$V$36</c:f>
              <c:numCache>
                <c:formatCode>_("$"* #,##0.00_);_("$"* \(#,##0.00\);_("$"* "-"??_);_(@_)</c:formatCode>
                <c:ptCount val="7"/>
                <c:pt idx="0">
                  <c:v>3599.6497777052173</c:v>
                </c:pt>
                <c:pt idx="1">
                  <c:v>3970.2397777052174</c:v>
                </c:pt>
                <c:pt idx="2">
                  <c:v>5150.0601076352195</c:v>
                </c:pt>
                <c:pt idx="3">
                  <c:v>7364.5129175478723</c:v>
                </c:pt>
                <c:pt idx="4">
                  <c:v>9931.670648840407</c:v>
                </c:pt>
                <c:pt idx="5">
                  <c:v>12907.710051366636</c:v>
                </c:pt>
                <c:pt idx="6">
                  <c:v>20357.30347343906</c:v>
                </c:pt>
              </c:numCache>
            </c:numRef>
          </c:val>
          <c:extLst>
            <c:ext xmlns:c16="http://schemas.microsoft.com/office/drawing/2014/chart" uri="{C3380CC4-5D6E-409C-BE32-E72D297353CC}">
              <c16:uniqueId val="{00000000-98A3-2540-83BE-D7C11B86F27F}"/>
            </c:ext>
          </c:extLst>
        </c:ser>
        <c:dLbls>
          <c:dLblPos val="inEnd"/>
          <c:showLegendKey val="0"/>
          <c:showVal val="1"/>
          <c:showCatName val="0"/>
          <c:showSerName val="0"/>
          <c:showPercent val="0"/>
          <c:showBubbleSize val="0"/>
        </c:dLbls>
        <c:gapWidth val="65"/>
        <c:axId val="2094468623"/>
        <c:axId val="2094470303"/>
      </c:barChart>
      <c:catAx>
        <c:axId val="2094468623"/>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2094470303"/>
        <c:crosses val="autoZero"/>
        <c:auto val="1"/>
        <c:lblAlgn val="ctr"/>
        <c:lblOffset val="100"/>
        <c:noMultiLvlLbl val="0"/>
      </c:catAx>
      <c:valAx>
        <c:axId val="209447030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none"/>
        <c:minorTickMark val="none"/>
        <c:tickLblPos val="nextTo"/>
        <c:crossAx val="2094468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baseline="0">
                <a:solidFill>
                  <a:schemeClr val="dk1">
                    <a:lumMod val="75000"/>
                    <a:lumOff val="25000"/>
                  </a:schemeClr>
                </a:solidFill>
                <a:latin typeface="+mn-lt"/>
                <a:ea typeface="+mn-ea"/>
                <a:cs typeface="+mn-cs"/>
              </a:defRPr>
            </a:pPr>
            <a:r>
              <a:rPr lang="en-US" sz="2400"/>
              <a:t>Monthly Expenses</a:t>
            </a:r>
          </a:p>
        </c:rich>
      </c:tx>
      <c:layout>
        <c:manualLayout>
          <c:xMode val="edge"/>
          <c:yMode val="edge"/>
          <c:x val="0.16745257695060844"/>
          <c:y val="2.5936599423631124E-2"/>
        </c:manualLayout>
      </c:layout>
      <c:overlay val="0"/>
      <c:spPr>
        <a:noFill/>
        <a:ln>
          <a:noFill/>
        </a:ln>
        <a:effectLst/>
      </c:spPr>
      <c:txPr>
        <a:bodyPr rot="0" spcFirstLastPara="1" vertOverflow="ellipsis" vert="horz" wrap="square" anchor="ctr" anchorCtr="1"/>
        <a:lstStyle/>
        <a:p>
          <a:pPr>
            <a:defRPr sz="24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A8E-C541-858E-77C2B01A8EFD}"/>
              </c:ext>
            </c:extLst>
          </c:dPt>
          <c:dPt>
            <c:idx val="1"/>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A8E-C541-858E-77C2B01A8EFD}"/>
              </c:ext>
            </c:extLst>
          </c:dPt>
          <c:dPt>
            <c:idx val="2"/>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A8E-C541-858E-77C2B01A8EFD}"/>
              </c:ext>
            </c:extLst>
          </c:dPt>
          <c:dPt>
            <c:idx val="3"/>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A8E-C541-858E-77C2B01A8EFD}"/>
              </c:ext>
            </c:extLst>
          </c:dPt>
          <c:dPt>
            <c:idx val="4"/>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A8E-C541-858E-77C2B01A8EFD}"/>
              </c:ext>
            </c:extLst>
          </c:dPt>
          <c:dPt>
            <c:idx val="5"/>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2A8E-C541-858E-77C2B01A8EFD}"/>
              </c:ext>
            </c:extLst>
          </c:dPt>
          <c:dPt>
            <c:idx val="6"/>
            <c:bubble3D val="0"/>
            <c:spPr>
              <a:solidFill>
                <a:schemeClr val="accent6">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2A8E-C541-858E-77C2B01A8EFD}"/>
              </c:ext>
            </c:extLst>
          </c:dPt>
          <c:dPt>
            <c:idx val="7"/>
            <c:bubble3D val="0"/>
            <c:spPr>
              <a:solidFill>
                <a:schemeClr val="accent5">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2A8E-C541-858E-77C2B01A8EFD}"/>
              </c:ext>
            </c:extLst>
          </c:dPt>
          <c:dPt>
            <c:idx val="8"/>
            <c:bubble3D val="0"/>
            <c:spPr>
              <a:solidFill>
                <a:schemeClr val="accent4">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2A8E-C541-858E-77C2B01A8EFD}"/>
              </c:ext>
            </c:extLst>
          </c:dPt>
          <c:dPt>
            <c:idx val="9"/>
            <c:bubble3D val="0"/>
            <c:spPr>
              <a:solidFill>
                <a:schemeClr val="accent6">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2A8E-C541-858E-77C2B01A8EFD}"/>
              </c:ext>
            </c:extLst>
          </c:dPt>
          <c:dPt>
            <c:idx val="10"/>
            <c:bubble3D val="0"/>
            <c:spPr>
              <a:solidFill>
                <a:schemeClr val="accent5">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2A8E-C541-858E-77C2B01A8EFD}"/>
              </c:ext>
            </c:extLst>
          </c:dPt>
          <c:dPt>
            <c:idx val="11"/>
            <c:bubble3D val="0"/>
            <c:spPr>
              <a:solidFill>
                <a:schemeClr val="accent4">
                  <a:lumMod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2A8E-C541-858E-77C2B01A8EFD}"/>
              </c:ext>
            </c:extLst>
          </c:dPt>
          <c:dPt>
            <c:idx val="12"/>
            <c:bubble3D val="0"/>
            <c:spPr>
              <a:solidFill>
                <a:schemeClr val="accent6">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2A8E-C541-858E-77C2B01A8EFD}"/>
              </c:ext>
            </c:extLst>
          </c:dPt>
          <c:dPt>
            <c:idx val="13"/>
            <c:bubble3D val="0"/>
            <c:spPr>
              <a:solidFill>
                <a:schemeClr val="accent5">
                  <a:lumMod val="60000"/>
                  <a:lumOff val="4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2A8E-C541-858E-77C2B01A8EF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'Rental Property Analysis'!$B$28:$B$41</c:f>
              <c:strCache>
                <c:ptCount val="14"/>
                <c:pt idx="0">
                  <c:v>Property Taxes</c:v>
                </c:pt>
                <c:pt idx="1">
                  <c:v>Insurance</c:v>
                </c:pt>
                <c:pt idx="2">
                  <c:v>Gas</c:v>
                </c:pt>
                <c:pt idx="3">
                  <c:v>Water &amp; Sewer</c:v>
                </c:pt>
                <c:pt idx="4">
                  <c:v>Cable/Internet</c:v>
                </c:pt>
                <c:pt idx="5">
                  <c:v>Electricity</c:v>
                </c:pt>
                <c:pt idx="6">
                  <c:v>Garbage</c:v>
                </c:pt>
                <c:pt idx="7">
                  <c:v>Security</c:v>
                </c:pt>
                <c:pt idx="8">
                  <c:v>HOA Fees</c:v>
                </c:pt>
                <c:pt idx="9">
                  <c:v>Other Expenses</c:v>
                </c:pt>
                <c:pt idx="10">
                  <c:v>Capiital Expenditures</c:v>
                </c:pt>
                <c:pt idx="11">
                  <c:v>Property Management Fees</c:v>
                </c:pt>
                <c:pt idx="12">
                  <c:v>Repairs &amp; Building Maintenance</c:v>
                </c:pt>
                <c:pt idx="13">
                  <c:v>Vacancy Allowance </c:v>
                </c:pt>
              </c:strCache>
            </c:strRef>
          </c:cat>
          <c:val>
            <c:numRef>
              <c:f>'Rental Property Analysis'!$E$28:$E$41</c:f>
              <c:numCache>
                <c:formatCode>_("$"* #,##0.00_);_("$"* \(#,##0.00\);_("$"* "-"??_);_(@_)</c:formatCode>
                <c:ptCount val="14"/>
                <c:pt idx="0">
                  <c:v>333.33333333333331</c:v>
                </c:pt>
                <c:pt idx="1">
                  <c:v>75</c:v>
                </c:pt>
                <c:pt idx="2">
                  <c:v>0</c:v>
                </c:pt>
                <c:pt idx="3">
                  <c:v>0</c:v>
                </c:pt>
                <c:pt idx="4">
                  <c:v>0</c:v>
                </c:pt>
                <c:pt idx="5">
                  <c:v>0</c:v>
                </c:pt>
                <c:pt idx="6">
                  <c:v>0</c:v>
                </c:pt>
                <c:pt idx="7">
                  <c:v>0</c:v>
                </c:pt>
                <c:pt idx="8">
                  <c:v>0</c:v>
                </c:pt>
                <c:pt idx="9">
                  <c:v>0</c:v>
                </c:pt>
                <c:pt idx="10">
                  <c:v>124.25000000000001</c:v>
                </c:pt>
                <c:pt idx="11">
                  <c:v>0</c:v>
                </c:pt>
                <c:pt idx="12">
                  <c:v>124.25000000000001</c:v>
                </c:pt>
                <c:pt idx="13">
                  <c:v>88.75</c:v>
                </c:pt>
              </c:numCache>
            </c:numRef>
          </c:val>
          <c:extLst>
            <c:ext xmlns:c16="http://schemas.microsoft.com/office/drawing/2014/chart" uri="{C3380CC4-5D6E-409C-BE32-E72D297353CC}">
              <c16:uniqueId val="{0000001C-2A8E-C541-858E-77C2B01A8EF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4597992722500606"/>
          <c:y val="0"/>
          <c:w val="0.25212613338105466"/>
          <c:h val="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baseline="0">
                <a:solidFill>
                  <a:schemeClr val="dk1">
                    <a:lumMod val="75000"/>
                    <a:lumOff val="25000"/>
                  </a:schemeClr>
                </a:solidFill>
                <a:latin typeface="+mn-lt"/>
                <a:ea typeface="+mn-ea"/>
                <a:cs typeface="+mn-cs"/>
              </a:defRPr>
            </a:pPr>
            <a:r>
              <a:rPr lang="en-US" sz="2400"/>
              <a:t>Total Cash</a:t>
            </a:r>
            <a:r>
              <a:rPr lang="en-US" sz="2400" baseline="0"/>
              <a:t> Flow Over 30 Years</a:t>
            </a:r>
            <a:endParaRPr lang="en-US" sz="2400"/>
          </a:p>
        </c:rich>
      </c:tx>
      <c:overlay val="0"/>
      <c:spPr>
        <a:noFill/>
        <a:ln>
          <a:noFill/>
        </a:ln>
        <a:effectLst/>
      </c:spPr>
      <c:txPr>
        <a:bodyPr rot="0" spcFirstLastPara="1" vertOverflow="ellipsis" vert="horz" wrap="square" anchor="ctr" anchorCtr="1"/>
        <a:lstStyle/>
        <a:p>
          <a:pPr>
            <a:defRPr sz="24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'Rental Property Analysis'!$P$7:$V$7</c:f>
              <c:strCache>
                <c:ptCount val="7"/>
                <c:pt idx="0">
                  <c:v>Year 1</c:v>
                </c:pt>
                <c:pt idx="1">
                  <c:v>Year 2</c:v>
                </c:pt>
                <c:pt idx="2">
                  <c:v>Year 5</c:v>
                </c:pt>
                <c:pt idx="3">
                  <c:v>Year 10</c:v>
                </c:pt>
                <c:pt idx="4">
                  <c:v>Year 15</c:v>
                </c:pt>
                <c:pt idx="5">
                  <c:v>Year 20</c:v>
                </c:pt>
                <c:pt idx="6">
                  <c:v>Year 30</c:v>
                </c:pt>
              </c:strCache>
            </c:strRef>
          </c:cat>
          <c:val>
            <c:numRef>
              <c:f>'Rental Property Analysis'!$P$36:$V$36</c:f>
              <c:numCache>
                <c:formatCode>_("$"* #,##0.00_);_("$"* \(#,##0.00\);_("$"* "-"??_);_(@_)</c:formatCode>
                <c:ptCount val="7"/>
                <c:pt idx="0">
                  <c:v>3599.6497777052173</c:v>
                </c:pt>
                <c:pt idx="1">
                  <c:v>3970.2397777052174</c:v>
                </c:pt>
                <c:pt idx="2">
                  <c:v>5150.0601076352195</c:v>
                </c:pt>
                <c:pt idx="3">
                  <c:v>7364.5129175478723</c:v>
                </c:pt>
                <c:pt idx="4">
                  <c:v>9931.670648840407</c:v>
                </c:pt>
                <c:pt idx="5">
                  <c:v>12907.710051366636</c:v>
                </c:pt>
                <c:pt idx="6">
                  <c:v>20357.30347343906</c:v>
                </c:pt>
              </c:numCache>
            </c:numRef>
          </c:val>
          <c:extLst>
            <c:ext xmlns:c16="http://schemas.microsoft.com/office/drawing/2014/chart" uri="{C3380CC4-5D6E-409C-BE32-E72D297353CC}">
              <c16:uniqueId val="{00000000-0F64-824B-8FC0-58DA5F21280F}"/>
            </c:ext>
          </c:extLst>
        </c:ser>
        <c:dLbls>
          <c:dLblPos val="inEnd"/>
          <c:showLegendKey val="0"/>
          <c:showVal val="1"/>
          <c:showCatName val="0"/>
          <c:showSerName val="0"/>
          <c:showPercent val="0"/>
          <c:showBubbleSize val="0"/>
        </c:dLbls>
        <c:gapWidth val="65"/>
        <c:axId val="2094468623"/>
        <c:axId val="2094470303"/>
      </c:barChart>
      <c:catAx>
        <c:axId val="2094468623"/>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2094470303"/>
        <c:crosses val="autoZero"/>
        <c:auto val="1"/>
        <c:lblAlgn val="ctr"/>
        <c:lblOffset val="100"/>
        <c:noMultiLvlLbl val="0"/>
      </c:catAx>
      <c:valAx>
        <c:axId val="209447030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none"/>
        <c:minorTickMark val="none"/>
        <c:tickLblPos val="nextTo"/>
        <c:crossAx val="2094468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0</xdr:colOff>
      <xdr:row>46</xdr:row>
      <xdr:rowOff>152400</xdr:rowOff>
    </xdr:from>
    <xdr:to>
      <xdr:col>17</xdr:col>
      <xdr:colOff>939800</xdr:colOff>
      <xdr:row>69</xdr:row>
      <xdr:rowOff>0</xdr:rowOff>
    </xdr:to>
    <xdr:graphicFrame macro="">
      <xdr:nvGraphicFramePr>
        <xdr:cNvPr id="41" name="Chart 40">
          <a:extLst>
            <a:ext uri="{FF2B5EF4-FFF2-40B4-BE49-F238E27FC236}">
              <a16:creationId xmlns:a16="http://schemas.microsoft.com/office/drawing/2014/main" id="{F431691C-5555-B24E-90EC-6BBC4C97F8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285750</xdr:colOff>
      <xdr:row>46</xdr:row>
      <xdr:rowOff>139700</xdr:rowOff>
    </xdr:from>
    <xdr:to>
      <xdr:col>24</xdr:col>
      <xdr:colOff>317500</xdr:colOff>
      <xdr:row>69</xdr:row>
      <xdr:rowOff>76200</xdr:rowOff>
    </xdr:to>
    <xdr:graphicFrame macro="">
      <xdr:nvGraphicFramePr>
        <xdr:cNvPr id="42" name="Chart 41">
          <a:extLst>
            <a:ext uri="{FF2B5EF4-FFF2-40B4-BE49-F238E27FC236}">
              <a16:creationId xmlns:a16="http://schemas.microsoft.com/office/drawing/2014/main" id="{782D115D-FB26-9141-AB66-CF0205DF26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558800</xdr:colOff>
      <xdr:row>1</xdr:row>
      <xdr:rowOff>198120</xdr:rowOff>
    </xdr:from>
    <xdr:to>
      <xdr:col>8</xdr:col>
      <xdr:colOff>419100</xdr:colOff>
      <xdr:row>3</xdr:row>
      <xdr:rowOff>195580</xdr:rowOff>
    </xdr:to>
    <xdr:sp macro="" textlink="">
      <xdr:nvSpPr>
        <xdr:cNvPr id="5" name="Text Box 2">
          <a:extLst>
            <a:ext uri="{FF2B5EF4-FFF2-40B4-BE49-F238E27FC236}">
              <a16:creationId xmlns:a16="http://schemas.microsoft.com/office/drawing/2014/main" id="{17914EA2-DEE4-6B4B-8196-F615C636A56F}"/>
            </a:ext>
          </a:extLst>
        </xdr:cNvPr>
        <xdr:cNvSpPr txBox="1"/>
      </xdr:nvSpPr>
      <xdr:spPr>
        <a:xfrm>
          <a:off x="6781800" y="617220"/>
          <a:ext cx="2641600" cy="403860"/>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200000"/>
            </a:lnSpc>
            <a:spcBef>
              <a:spcPts val="0"/>
            </a:spcBef>
            <a:spcAft>
              <a:spcPts val="0"/>
            </a:spcAft>
          </a:pPr>
          <a:r>
            <a:rPr lang="en-US" sz="1600">
              <a:ln w="9525" cap="flat" cmpd="sng" algn="ctr">
                <a:solidFill>
                  <a:srgbClr val="BA63E5"/>
                </a:solidFill>
                <a:prstDash val="solid"/>
                <a:round/>
              </a:ln>
              <a:solidFill>
                <a:srgbClr val="9875E4"/>
              </a:solidFill>
              <a:effectLst>
                <a:outerShdw blurRad="38100" dist="25400" dir="5400000" algn="ctr">
                  <a:srgbClr val="6E747A">
                    <a:alpha val="43000"/>
                  </a:srgbClr>
                </a:outerShdw>
              </a:effectLst>
              <a:latin typeface="Verdana" panose="020B0604030504040204" pitchFamily="34" charset="0"/>
              <a:ea typeface="Arial" panose="020B0604020202020204" pitchFamily="34" charset="0"/>
            </a:rPr>
            <a:t>TP REAL </a:t>
          </a:r>
          <a:r>
            <a:rPr lang="en-US" sz="1600">
              <a:ln w="9525" cap="flat" cmpd="sng" algn="ctr">
                <a:solidFill>
                  <a:srgbClr val="BA63E5"/>
                </a:solidFill>
                <a:prstDash val="solid"/>
                <a:round/>
              </a:ln>
              <a:solidFill>
                <a:srgbClr val="BA63E5"/>
              </a:solidFill>
              <a:effectLst>
                <a:outerShdw blurRad="38100" dist="25400" dir="5400000" algn="ctr">
                  <a:srgbClr val="6E747A">
                    <a:alpha val="43000"/>
                  </a:srgbClr>
                </a:outerShdw>
              </a:effectLst>
              <a:latin typeface="Verdana" panose="020B0604030504040204" pitchFamily="34" charset="0"/>
              <a:ea typeface="Arial" panose="020B0604020202020204" pitchFamily="34" charset="0"/>
            </a:rPr>
            <a:t>ESTATE</a:t>
          </a:r>
          <a:endParaRPr lang="en-US" sz="1200">
            <a:effectLst/>
            <a:latin typeface="Times New Roman" panose="02020603050405020304" pitchFamily="18" charset="0"/>
            <a:ea typeface="Arial" panose="020B0604020202020204" pitchFamily="34" charset="0"/>
          </a:endParaRPr>
        </a:p>
      </xdr:txBody>
    </xdr:sp>
    <xdr:clientData/>
  </xdr:twoCellAnchor>
  <xdr:twoCellAnchor editAs="oneCell">
    <xdr:from>
      <xdr:col>5</xdr:col>
      <xdr:colOff>1117600</xdr:colOff>
      <xdr:row>0</xdr:row>
      <xdr:rowOff>50800</xdr:rowOff>
    </xdr:from>
    <xdr:to>
      <xdr:col>6</xdr:col>
      <xdr:colOff>711200</xdr:colOff>
      <xdr:row>2</xdr:row>
      <xdr:rowOff>177800</xdr:rowOff>
    </xdr:to>
    <xdr:pic>
      <xdr:nvPicPr>
        <xdr:cNvPr id="6" name="Picture 5">
          <a:extLst>
            <a:ext uri="{FF2B5EF4-FFF2-40B4-BE49-F238E27FC236}">
              <a16:creationId xmlns:a16="http://schemas.microsoft.com/office/drawing/2014/main" id="{4B061E7B-86A2-9E46-9DF6-DFF877363D9C}"/>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998" t="11000" r="4998" b="-1000"/>
        <a:stretch/>
      </xdr:blipFill>
      <xdr:spPr bwMode="auto">
        <a:xfrm>
          <a:off x="7340600" y="50800"/>
          <a:ext cx="736600" cy="749300"/>
        </a:xfrm>
        <a:prstGeom prst="ellipse">
          <a:avLst/>
        </a:prstGeom>
        <a:ln w="50800" cap="rnd" cmpd="sng" algn="ctr">
          <a:solidFill>
            <a:srgbClr val="BA63E5"/>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a:outerShdw blurRad="127000" sx="1000" sy="1000" algn="bl" rotWithShape="0">
            <a:srgbClr val="000000"/>
          </a:outerShdw>
        </a:effectLst>
        <a:scene3d>
          <a:camera prst="perspectiveFront" fov="5400000"/>
          <a:lightRig rig="threePt" dir="t">
            <a:rot lat="0" lon="0" rev="19200000"/>
          </a:lightRig>
        </a:scene3d>
        <a:sp3d extrusionH="25400">
          <a:extrusionClr>
            <a:srgbClr val="000000"/>
          </a:extrusionClr>
        </a:sp3d>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76200</xdr:colOff>
      <xdr:row>41</xdr:row>
      <xdr:rowOff>114300</xdr:rowOff>
    </xdr:from>
    <xdr:to>
      <xdr:col>5</xdr:col>
      <xdr:colOff>1397000</xdr:colOff>
      <xdr:row>58</xdr:row>
      <xdr:rowOff>38100</xdr:rowOff>
    </xdr:to>
    <xdr:graphicFrame macro="">
      <xdr:nvGraphicFramePr>
        <xdr:cNvPr id="6" name="Chart 5">
          <a:extLst>
            <a:ext uri="{FF2B5EF4-FFF2-40B4-BE49-F238E27FC236}">
              <a16:creationId xmlns:a16="http://schemas.microsoft.com/office/drawing/2014/main" id="{D393A75E-0099-B748-8410-5A1945C9F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127000</xdr:colOff>
      <xdr:row>26</xdr:row>
      <xdr:rowOff>127000</xdr:rowOff>
    </xdr:from>
    <xdr:to>
      <xdr:col>5</xdr:col>
      <xdr:colOff>1460500</xdr:colOff>
      <xdr:row>40</xdr:row>
      <xdr:rowOff>177800</xdr:rowOff>
    </xdr:to>
    <xdr:graphicFrame macro="">
      <xdr:nvGraphicFramePr>
        <xdr:cNvPr id="7" name="Chart 6">
          <a:extLst>
            <a:ext uri="{FF2B5EF4-FFF2-40B4-BE49-F238E27FC236}">
              <a16:creationId xmlns:a16="http://schemas.microsoft.com/office/drawing/2014/main" id="{F13679FD-8F43-7849-B72C-0E29516E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3721100</xdr:colOff>
      <xdr:row>1</xdr:row>
      <xdr:rowOff>541020</xdr:rowOff>
    </xdr:from>
    <xdr:to>
      <xdr:col>6</xdr:col>
      <xdr:colOff>88900</xdr:colOff>
      <xdr:row>4</xdr:row>
      <xdr:rowOff>119380</xdr:rowOff>
    </xdr:to>
    <xdr:sp macro="" textlink="">
      <xdr:nvSpPr>
        <xdr:cNvPr id="5" name="Text Box 2">
          <a:extLst>
            <a:ext uri="{FF2B5EF4-FFF2-40B4-BE49-F238E27FC236}">
              <a16:creationId xmlns:a16="http://schemas.microsoft.com/office/drawing/2014/main" id="{0C74A921-31A7-8E43-9D85-899E2E6753D0}"/>
            </a:ext>
          </a:extLst>
        </xdr:cNvPr>
        <xdr:cNvSpPr txBox="1"/>
      </xdr:nvSpPr>
      <xdr:spPr>
        <a:xfrm>
          <a:off x="9461500" y="744220"/>
          <a:ext cx="1981200" cy="632460"/>
        </a:xfrm>
        <a:prstGeom prst="rect">
          <a:avLst/>
        </a:prstGeom>
        <a:noFill/>
        <a:ln>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200000"/>
            </a:lnSpc>
            <a:spcBef>
              <a:spcPts val="0"/>
            </a:spcBef>
            <a:spcAft>
              <a:spcPts val="0"/>
            </a:spcAft>
          </a:pPr>
          <a:r>
            <a:rPr lang="en-US" sz="1600">
              <a:ln w="9525" cap="flat" cmpd="sng" algn="ctr">
                <a:solidFill>
                  <a:srgbClr val="BA63E5"/>
                </a:solidFill>
                <a:prstDash val="solid"/>
                <a:round/>
              </a:ln>
              <a:solidFill>
                <a:srgbClr val="9875E4"/>
              </a:solidFill>
              <a:effectLst>
                <a:outerShdw blurRad="38100" dist="25400" dir="5400000" algn="ctr">
                  <a:srgbClr val="6E747A">
                    <a:alpha val="43000"/>
                  </a:srgbClr>
                </a:outerShdw>
              </a:effectLst>
              <a:latin typeface="Verdana" panose="020B0604030504040204" pitchFamily="34" charset="0"/>
              <a:ea typeface="Arial" panose="020B0604020202020204" pitchFamily="34" charset="0"/>
            </a:rPr>
            <a:t>TP REAL </a:t>
          </a:r>
          <a:r>
            <a:rPr lang="en-US" sz="1600">
              <a:ln w="9525" cap="flat" cmpd="sng" algn="ctr">
                <a:solidFill>
                  <a:srgbClr val="BA63E5"/>
                </a:solidFill>
                <a:prstDash val="solid"/>
                <a:round/>
              </a:ln>
              <a:solidFill>
                <a:srgbClr val="BA63E5"/>
              </a:solidFill>
              <a:effectLst>
                <a:outerShdw blurRad="38100" dist="25400" dir="5400000" algn="ctr">
                  <a:srgbClr val="6E747A">
                    <a:alpha val="43000"/>
                  </a:srgbClr>
                </a:outerShdw>
              </a:effectLst>
              <a:latin typeface="Verdana" panose="020B0604030504040204" pitchFamily="34" charset="0"/>
              <a:ea typeface="Arial" panose="020B0604020202020204" pitchFamily="34" charset="0"/>
            </a:rPr>
            <a:t>ESTATE</a:t>
          </a:r>
          <a:endParaRPr lang="en-US" sz="1200">
            <a:effectLst/>
            <a:latin typeface="Times New Roman" panose="02020603050405020304" pitchFamily="18" charset="0"/>
            <a:ea typeface="Arial" panose="020B0604020202020204" pitchFamily="34" charset="0"/>
          </a:endParaRPr>
        </a:p>
      </xdr:txBody>
    </xdr:sp>
    <xdr:clientData/>
  </xdr:twoCellAnchor>
  <xdr:twoCellAnchor editAs="oneCell">
    <xdr:from>
      <xdr:col>5</xdr:col>
      <xdr:colOff>165100</xdr:colOff>
      <xdr:row>0</xdr:row>
      <xdr:rowOff>165100</xdr:rowOff>
    </xdr:from>
    <xdr:to>
      <xdr:col>5</xdr:col>
      <xdr:colOff>901700</xdr:colOff>
      <xdr:row>2</xdr:row>
      <xdr:rowOff>63500</xdr:rowOff>
    </xdr:to>
    <xdr:pic>
      <xdr:nvPicPr>
        <xdr:cNvPr id="8" name="Picture 7">
          <a:extLst>
            <a:ext uri="{FF2B5EF4-FFF2-40B4-BE49-F238E27FC236}">
              <a16:creationId xmlns:a16="http://schemas.microsoft.com/office/drawing/2014/main" id="{CFB7F271-6E83-8F49-B92A-9C9BE18E315A}"/>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998" t="11000" r="4998" b="-1000"/>
        <a:stretch/>
      </xdr:blipFill>
      <xdr:spPr bwMode="auto">
        <a:xfrm>
          <a:off x="10020300" y="165100"/>
          <a:ext cx="736600" cy="749300"/>
        </a:xfrm>
        <a:prstGeom prst="ellipse">
          <a:avLst/>
        </a:prstGeom>
        <a:ln w="50800" cap="rnd" cmpd="sng" algn="ctr">
          <a:solidFill>
            <a:srgbClr val="BA63E5"/>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a:outerShdw blurRad="127000" sx="1000" sy="1000" algn="bl" rotWithShape="0">
            <a:srgbClr val="000000"/>
          </a:outerShdw>
        </a:effectLst>
        <a:scene3d>
          <a:camera prst="perspectiveFront" fov="5400000"/>
          <a:lightRig rig="threePt" dir="t">
            <a:rot lat="0" lon="0" rev="19200000"/>
          </a:lightRig>
        </a:scene3d>
        <a:sp3d extrusionH="25400">
          <a:extrusionClr>
            <a:srgbClr val="000000"/>
          </a:extrusionClr>
        </a:sp3d>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61088-EBF9-EB4D-B831-0CD8B8B5E51C}">
  <sheetPr>
    <tabColor rgb="FFFFFF9A"/>
  </sheetPr>
  <dimension ref="B1:V70"/>
  <sheetViews>
    <sheetView topLeftCell="A28" workbookViewId="0">
      <selection activeCell="I26" sqref="I26"/>
    </sheetView>
  </sheetViews>
  <sheetFormatPr baseColWidth="10" defaultRowHeight="14"/>
  <cols>
    <col min="1" max="1" width="2.33203125" style="1" customWidth="1"/>
    <col min="2" max="2" width="31" style="1" customWidth="1"/>
    <col min="3" max="3" width="16.5" style="1" customWidth="1"/>
    <col min="4" max="4" width="18" style="1" customWidth="1"/>
    <col min="5" max="5" width="13.83203125" style="1" customWidth="1"/>
    <col min="6" max="6" width="15" style="1" customWidth="1"/>
    <col min="7" max="7" width="16.6640625" style="1" customWidth="1"/>
    <col min="8" max="8" width="4.83203125" style="1" customWidth="1"/>
    <col min="9" max="9" width="23.5" style="1" customWidth="1"/>
    <col min="10" max="10" width="14.33203125" style="1" customWidth="1"/>
    <col min="11" max="11" width="5.5" style="1" customWidth="1"/>
    <col min="12" max="12" width="7" style="1" customWidth="1"/>
    <col min="13" max="13" width="10.83203125" style="1" customWidth="1"/>
    <col min="14" max="14" width="18.1640625" style="1" customWidth="1"/>
    <col min="15" max="15" width="11.6640625" style="1" bestFit="1" customWidth="1"/>
    <col min="16" max="18" width="14" style="1" bestFit="1" customWidth="1"/>
    <col min="19" max="19" width="15.1640625" style="1" customWidth="1"/>
    <col min="20" max="20" width="14.33203125" style="1" customWidth="1"/>
    <col min="21" max="21" width="15" style="1" customWidth="1"/>
    <col min="22" max="22" width="14" style="1" bestFit="1" customWidth="1"/>
    <col min="23" max="16384" width="10.83203125" style="1"/>
  </cols>
  <sheetData>
    <row r="1" spans="2:22" ht="33">
      <c r="B1" s="138" t="s">
        <v>57</v>
      </c>
      <c r="C1" s="139"/>
      <c r="D1" s="139"/>
      <c r="E1" s="139"/>
      <c r="F1" s="139"/>
      <c r="G1" s="140"/>
      <c r="I1" s="245" t="s">
        <v>0</v>
      </c>
      <c r="J1" s="245"/>
      <c r="L1" s="226" t="s">
        <v>61</v>
      </c>
      <c r="M1" s="227"/>
      <c r="N1" s="227"/>
      <c r="O1" s="227"/>
      <c r="P1" s="227"/>
      <c r="Q1" s="227"/>
      <c r="R1" s="227"/>
      <c r="S1" s="227"/>
      <c r="T1" s="227"/>
      <c r="U1" s="227"/>
      <c r="V1" s="228"/>
    </row>
    <row r="2" spans="2:22" ht="16" customHeight="1">
      <c r="B2" s="137"/>
      <c r="C2" s="2"/>
      <c r="D2" s="25"/>
      <c r="E2" s="2"/>
      <c r="F2" s="2"/>
      <c r="G2" s="14"/>
      <c r="I2" s="5"/>
      <c r="J2" s="6"/>
      <c r="L2" s="7"/>
      <c r="M2" s="8"/>
      <c r="N2" s="8"/>
      <c r="O2" s="8"/>
      <c r="P2" s="8"/>
      <c r="Q2" s="8"/>
      <c r="R2" s="8"/>
      <c r="S2" s="8"/>
      <c r="T2" s="8"/>
      <c r="U2" s="8"/>
      <c r="V2" s="9"/>
    </row>
    <row r="3" spans="2:22" ht="16">
      <c r="B3" s="11"/>
      <c r="C3" s="12"/>
      <c r="D3" s="13" t="s">
        <v>24</v>
      </c>
      <c r="E3" s="2"/>
      <c r="F3" s="2"/>
      <c r="G3" s="14"/>
      <c r="I3" s="4" t="s">
        <v>62</v>
      </c>
      <c r="J3" s="136" t="s">
        <v>130</v>
      </c>
      <c r="L3" s="66"/>
      <c r="M3" s="67"/>
      <c r="N3" s="67"/>
      <c r="O3" s="67"/>
      <c r="P3" s="68" t="s">
        <v>66</v>
      </c>
      <c r="Q3" s="69" t="s">
        <v>67</v>
      </c>
      <c r="R3" s="69" t="s">
        <v>68</v>
      </c>
      <c r="S3" s="69" t="s">
        <v>69</v>
      </c>
      <c r="T3" s="69" t="s">
        <v>70</v>
      </c>
      <c r="U3" s="69" t="s">
        <v>71</v>
      </c>
      <c r="V3" s="69" t="s">
        <v>72</v>
      </c>
    </row>
    <row r="4" spans="2:22" ht="16">
      <c r="B4" s="11"/>
      <c r="C4" s="15"/>
      <c r="D4" s="13" t="s">
        <v>23</v>
      </c>
      <c r="E4" s="2"/>
      <c r="F4" s="2"/>
      <c r="G4" s="14"/>
      <c r="I4" s="4" t="s">
        <v>63</v>
      </c>
      <c r="J4" s="136" t="s">
        <v>97</v>
      </c>
      <c r="L4" s="246" t="s">
        <v>73</v>
      </c>
      <c r="M4" s="246"/>
      <c r="N4" s="246"/>
      <c r="O4" s="70">
        <v>0.03</v>
      </c>
      <c r="P4" s="71">
        <v>0</v>
      </c>
      <c r="Q4" s="71">
        <f t="shared" ref="Q4:Q5" si="0">O4</f>
        <v>0.03</v>
      </c>
      <c r="R4" s="71">
        <f t="shared" ref="R4:R5" si="1">O4</f>
        <v>0.03</v>
      </c>
      <c r="S4" s="71">
        <f t="shared" ref="S4:S5" si="2">O4</f>
        <v>0.03</v>
      </c>
      <c r="T4" s="71">
        <f t="shared" ref="T4:T5" si="3">R4</f>
        <v>0.03</v>
      </c>
      <c r="U4" s="71">
        <f t="shared" ref="U4:U5" si="4">R4</f>
        <v>0.03</v>
      </c>
      <c r="V4" s="71">
        <f t="shared" ref="V4:V5" si="5">R4</f>
        <v>0.03</v>
      </c>
    </row>
    <row r="5" spans="2:22" ht="16">
      <c r="B5" s="16"/>
      <c r="C5" s="17"/>
      <c r="D5" s="18"/>
      <c r="E5" s="17"/>
      <c r="F5" s="17"/>
      <c r="G5" s="19"/>
      <c r="I5" s="4" t="s">
        <v>25</v>
      </c>
      <c r="J5" s="49">
        <v>3</v>
      </c>
      <c r="L5" s="246" t="s">
        <v>74</v>
      </c>
      <c r="M5" s="246"/>
      <c r="N5" s="246"/>
      <c r="O5" s="70">
        <v>0.03</v>
      </c>
      <c r="P5" s="71">
        <v>0</v>
      </c>
      <c r="Q5" s="71">
        <f t="shared" si="0"/>
        <v>0.03</v>
      </c>
      <c r="R5" s="71">
        <f t="shared" si="1"/>
        <v>0.03</v>
      </c>
      <c r="S5" s="71">
        <f t="shared" si="2"/>
        <v>0.03</v>
      </c>
      <c r="T5" s="71">
        <f t="shared" si="3"/>
        <v>0.03</v>
      </c>
      <c r="U5" s="71">
        <f t="shared" si="4"/>
        <v>0.03</v>
      </c>
      <c r="V5" s="71">
        <f t="shared" si="5"/>
        <v>0.03</v>
      </c>
    </row>
    <row r="6" spans="2:22" ht="16">
      <c r="B6" s="20" t="s">
        <v>37</v>
      </c>
      <c r="C6" s="21"/>
      <c r="D6" s="22" t="s">
        <v>14</v>
      </c>
      <c r="E6" s="22" t="s">
        <v>6</v>
      </c>
      <c r="F6" s="23" t="s">
        <v>22</v>
      </c>
      <c r="G6" s="24" t="s">
        <v>56</v>
      </c>
      <c r="I6" s="4" t="s">
        <v>26</v>
      </c>
      <c r="J6" s="49">
        <v>2</v>
      </c>
      <c r="L6" s="72"/>
      <c r="M6" s="73"/>
      <c r="N6" s="73"/>
      <c r="O6" s="73"/>
      <c r="P6" s="73"/>
      <c r="Q6" s="73"/>
      <c r="R6" s="73"/>
      <c r="S6" s="73"/>
      <c r="T6" s="73"/>
      <c r="U6" s="73"/>
      <c r="V6" s="74"/>
    </row>
    <row r="7" spans="2:22" ht="16">
      <c r="B7" s="256"/>
      <c r="C7" s="257"/>
      <c r="D7" s="257"/>
      <c r="E7" s="257"/>
      <c r="F7" s="257"/>
      <c r="G7" s="258"/>
      <c r="I7" s="4" t="s">
        <v>27</v>
      </c>
      <c r="J7" s="49">
        <v>2000</v>
      </c>
      <c r="L7" s="66"/>
      <c r="M7" s="67"/>
      <c r="N7" s="75"/>
      <c r="O7" s="76" t="s">
        <v>6</v>
      </c>
      <c r="P7" s="77" t="s">
        <v>66</v>
      </c>
      <c r="Q7" s="78" t="s">
        <v>67</v>
      </c>
      <c r="R7" s="69" t="s">
        <v>68</v>
      </c>
      <c r="S7" s="69" t="s">
        <v>69</v>
      </c>
      <c r="T7" s="69" t="s">
        <v>70</v>
      </c>
      <c r="U7" s="69" t="s">
        <v>71</v>
      </c>
      <c r="V7" s="69" t="s">
        <v>72</v>
      </c>
    </row>
    <row r="8" spans="2:22" ht="16">
      <c r="B8" s="4" t="s">
        <v>33</v>
      </c>
      <c r="C8" s="4"/>
      <c r="D8" s="26">
        <v>210000</v>
      </c>
      <c r="E8" s="4"/>
      <c r="F8" s="4"/>
      <c r="G8" s="27"/>
      <c r="I8" s="4" t="s">
        <v>28</v>
      </c>
      <c r="J8" s="49">
        <v>1950</v>
      </c>
      <c r="L8" s="237" t="s">
        <v>75</v>
      </c>
      <c r="M8" s="238"/>
      <c r="N8" s="238"/>
      <c r="O8" s="79"/>
      <c r="P8" s="80"/>
      <c r="Q8" s="81"/>
      <c r="R8" s="81"/>
      <c r="S8" s="81"/>
      <c r="T8" s="81"/>
      <c r="U8" s="81"/>
      <c r="V8" s="82"/>
    </row>
    <row r="9" spans="2:22" ht="16">
      <c r="B9" s="4" t="s">
        <v>21</v>
      </c>
      <c r="C9" s="4"/>
      <c r="D9" s="141">
        <f>D10*D8</f>
        <v>42000</v>
      </c>
      <c r="E9" s="4"/>
      <c r="F9" s="4"/>
      <c r="G9" s="27"/>
      <c r="I9" s="4" t="s">
        <v>31</v>
      </c>
      <c r="J9" s="136" t="s">
        <v>131</v>
      </c>
      <c r="L9" s="236" t="s">
        <v>29</v>
      </c>
      <c r="M9" s="236"/>
      <c r="N9" s="236"/>
      <c r="O9" s="83">
        <f>D21</f>
        <v>1775</v>
      </c>
      <c r="P9" s="84">
        <f>O9*12</f>
        <v>21300</v>
      </c>
      <c r="Q9" s="85">
        <f>FV(Q4,1,0,-P9)</f>
        <v>21939</v>
      </c>
      <c r="R9" s="86">
        <f>FV(R4,4,0,-P9)</f>
        <v>23973.337652999999</v>
      </c>
      <c r="S9" s="86">
        <f>FV(S4,9,0,-P9)</f>
        <v>27791.668815562905</v>
      </c>
      <c r="T9" s="86">
        <f>FV(T4,14,0,-P9)</f>
        <v>32218.161139413864</v>
      </c>
      <c r="U9" s="86">
        <f>FV(U4,19,0,-P9)</f>
        <v>37349.678930542235</v>
      </c>
      <c r="V9" s="86">
        <f>FV(V4,29,0,-P9)</f>
        <v>50194.845277999746</v>
      </c>
    </row>
    <row r="10" spans="2:22" ht="16">
      <c r="B10" s="4" t="s">
        <v>94</v>
      </c>
      <c r="C10" s="4"/>
      <c r="D10" s="29">
        <v>0.2</v>
      </c>
      <c r="E10" s="4"/>
      <c r="F10" s="4"/>
      <c r="G10" s="27"/>
      <c r="I10" s="62"/>
      <c r="J10" s="63"/>
      <c r="L10" s="236" t="s">
        <v>40</v>
      </c>
      <c r="M10" s="236"/>
      <c r="N10" s="236"/>
      <c r="O10" s="83">
        <f>D22</f>
        <v>0</v>
      </c>
      <c r="P10" s="84">
        <f>O10*12</f>
        <v>0</v>
      </c>
      <c r="Q10" s="85">
        <f>FV(Q5,1,0,-P10)</f>
        <v>0</v>
      </c>
      <c r="R10" s="86">
        <f>FV(R5,4,0,-P10)</f>
        <v>0</v>
      </c>
      <c r="S10" s="86">
        <f>FV(S5,9,0,-P10)</f>
        <v>0</v>
      </c>
      <c r="T10" s="86">
        <f>FV(T5,14,0,-P10)</f>
        <v>0</v>
      </c>
      <c r="U10" s="86">
        <f>FV(U5,19,0,-P10)</f>
        <v>0</v>
      </c>
      <c r="V10" s="86">
        <f>FV(V5,29,0,-P10)</f>
        <v>0</v>
      </c>
    </row>
    <row r="11" spans="2:22" ht="16">
      <c r="B11" s="4" t="s">
        <v>35</v>
      </c>
      <c r="C11" s="4"/>
      <c r="D11" s="141">
        <f>D8-D9</f>
        <v>168000</v>
      </c>
      <c r="E11" s="214">
        <f>-PMT(D13/12, D16*12, D11, 0, 1)</f>
        <v>729.44585185789845</v>
      </c>
      <c r="F11" s="215">
        <f>E11*12</f>
        <v>8753.3502222947809</v>
      </c>
      <c r="G11" s="27"/>
      <c r="I11" s="4" t="s">
        <v>96</v>
      </c>
      <c r="J11" s="136" t="s">
        <v>98</v>
      </c>
      <c r="L11" s="241" t="s">
        <v>76</v>
      </c>
      <c r="M11" s="242"/>
      <c r="N11" s="243"/>
      <c r="O11" s="87">
        <f t="shared" ref="O11:V11" si="6">O9+O10</f>
        <v>1775</v>
      </c>
      <c r="P11" s="88">
        <f t="shared" si="6"/>
        <v>21300</v>
      </c>
      <c r="Q11" s="87">
        <f t="shared" si="6"/>
        <v>21939</v>
      </c>
      <c r="R11" s="87">
        <f t="shared" si="6"/>
        <v>23973.337652999999</v>
      </c>
      <c r="S11" s="87">
        <f t="shared" si="6"/>
        <v>27791.668815562905</v>
      </c>
      <c r="T11" s="87">
        <f t="shared" si="6"/>
        <v>32218.161139413864</v>
      </c>
      <c r="U11" s="87">
        <f t="shared" si="6"/>
        <v>37349.678930542235</v>
      </c>
      <c r="V11" s="87">
        <f t="shared" si="6"/>
        <v>50194.845277999746</v>
      </c>
    </row>
    <row r="12" spans="2:22" ht="16">
      <c r="B12" s="4" t="s">
        <v>34</v>
      </c>
      <c r="C12" s="4"/>
      <c r="D12" s="28">
        <f>D8*0.03</f>
        <v>6300</v>
      </c>
      <c r="E12" s="4"/>
      <c r="F12" s="4"/>
      <c r="G12" s="27"/>
      <c r="I12" s="4" t="s">
        <v>51</v>
      </c>
      <c r="J12" s="64">
        <f>D8</f>
        <v>210000</v>
      </c>
      <c r="L12" s="89"/>
      <c r="M12" s="90"/>
      <c r="N12" s="90"/>
      <c r="O12" s="90"/>
      <c r="P12" s="91"/>
      <c r="Q12" s="90"/>
      <c r="R12" s="90"/>
      <c r="S12" s="90"/>
      <c r="T12" s="90"/>
      <c r="U12" s="90"/>
      <c r="V12" s="92"/>
    </row>
    <row r="13" spans="2:22" ht="16">
      <c r="B13" s="4" t="s">
        <v>36</v>
      </c>
      <c r="C13" s="4"/>
      <c r="D13" s="31">
        <v>3.2530000000000003E-2</v>
      </c>
      <c r="E13" s="4"/>
      <c r="F13" s="4"/>
      <c r="G13" s="27"/>
      <c r="I13" s="4" t="s">
        <v>52</v>
      </c>
      <c r="J13" s="64">
        <v>145000</v>
      </c>
      <c r="L13" s="239" t="s">
        <v>30</v>
      </c>
      <c r="M13" s="240"/>
      <c r="N13" s="240"/>
      <c r="O13" s="240"/>
      <c r="P13" s="80"/>
      <c r="Q13" s="93"/>
      <c r="R13" s="93"/>
      <c r="S13" s="93"/>
      <c r="T13" s="93"/>
      <c r="U13" s="93"/>
      <c r="V13" s="94"/>
    </row>
    <row r="14" spans="2:22" ht="16">
      <c r="B14" s="4" t="s">
        <v>64</v>
      </c>
      <c r="C14" s="4"/>
      <c r="D14" s="32">
        <v>0</v>
      </c>
      <c r="E14" s="33">
        <f>F14/12</f>
        <v>0</v>
      </c>
      <c r="F14" s="33">
        <f>D11*D14</f>
        <v>0</v>
      </c>
      <c r="G14" s="27"/>
      <c r="I14" s="4" t="s">
        <v>53</v>
      </c>
      <c r="J14" s="49">
        <v>2020</v>
      </c>
      <c r="L14" s="236" t="s">
        <v>13</v>
      </c>
      <c r="M14" s="236"/>
      <c r="N14" s="236"/>
      <c r="O14" s="83">
        <f>E28</f>
        <v>333.33333333333331</v>
      </c>
      <c r="P14" s="84">
        <f t="shared" ref="P14:P19" si="7">O14*12</f>
        <v>4000</v>
      </c>
      <c r="Q14" s="85">
        <f>FV(Q5,1,0,-P14)</f>
        <v>4120</v>
      </c>
      <c r="R14" s="86">
        <f>FV(R5,4,0,-P14)</f>
        <v>4502.0352399999992</v>
      </c>
      <c r="S14" s="86">
        <f>FV(S5,9,0,-P14)</f>
        <v>5219.0927353169782</v>
      </c>
      <c r="T14" s="86">
        <f>FV(T5,14,0,-P14)</f>
        <v>6050.3588994204438</v>
      </c>
      <c r="U14" s="86">
        <f>FV(U5,19,0,-P14)</f>
        <v>7014.0242123084008</v>
      </c>
      <c r="V14" s="86">
        <f>FV(V5,29,0,-P14)</f>
        <v>9426.2620240375109</v>
      </c>
    </row>
    <row r="15" spans="2:22" ht="16">
      <c r="B15" s="4" t="s">
        <v>41</v>
      </c>
      <c r="C15" s="4"/>
      <c r="D15" s="34">
        <v>0</v>
      </c>
      <c r="E15" s="4"/>
      <c r="F15" s="4"/>
      <c r="G15" s="27"/>
      <c r="I15" s="4" t="s">
        <v>54</v>
      </c>
      <c r="J15" s="65">
        <v>0.02</v>
      </c>
      <c r="L15" s="236" t="s">
        <v>11</v>
      </c>
      <c r="M15" s="236"/>
      <c r="N15" s="236"/>
      <c r="O15" s="83">
        <f>E29</f>
        <v>75</v>
      </c>
      <c r="P15" s="84">
        <f t="shared" si="7"/>
        <v>900</v>
      </c>
      <c r="Q15" s="85">
        <f>FV(Q5,1,0,-P15)</f>
        <v>927</v>
      </c>
      <c r="R15" s="86">
        <f>FV(R5,4,0,-P15)</f>
        <v>1012.9579289999999</v>
      </c>
      <c r="S15" s="86">
        <f>FV(S5,9,0,-P15)</f>
        <v>1174.29586544632</v>
      </c>
      <c r="T15" s="86">
        <f>FV(T5,14,0,-P15)</f>
        <v>1361.3307523695998</v>
      </c>
      <c r="U15" s="86">
        <f>FV(U5,19,0,-P15)</f>
        <v>1578.1554477693903</v>
      </c>
      <c r="V15" s="86">
        <f>FV(V5,29,0,-P15)</f>
        <v>2120.9089554084399</v>
      </c>
    </row>
    <row r="16" spans="2:22" ht="16">
      <c r="B16" s="4" t="s">
        <v>20</v>
      </c>
      <c r="C16" s="4"/>
      <c r="D16" s="35">
        <v>30</v>
      </c>
      <c r="E16" s="4"/>
      <c r="F16" s="4"/>
      <c r="G16" s="27"/>
      <c r="I16" s="4" t="s">
        <v>32</v>
      </c>
      <c r="J16" s="49"/>
      <c r="L16" s="236" t="s">
        <v>43</v>
      </c>
      <c r="M16" s="236"/>
      <c r="N16" s="236"/>
      <c r="O16" s="83">
        <f>E38</f>
        <v>124.25000000000001</v>
      </c>
      <c r="P16" s="84">
        <f t="shared" si="7"/>
        <v>1491.0000000000002</v>
      </c>
      <c r="Q16" s="85">
        <f>FV(Q5,1,0,-P16)</f>
        <v>1535.7300000000002</v>
      </c>
      <c r="R16" s="86">
        <f>FV(R5,4,0,-P16)</f>
        <v>1678.1336357100001</v>
      </c>
      <c r="S16" s="86">
        <f>FV(S5,9,0,-P16)</f>
        <v>1945.4168170894038</v>
      </c>
      <c r="T16" s="86">
        <f>FV(T5,14,0,-P16)</f>
        <v>2255.2712797589706</v>
      </c>
      <c r="U16" s="86">
        <f>FV(U5,19,0,-P16)</f>
        <v>2614.4775251379569</v>
      </c>
      <c r="V16" s="86">
        <f>FV(V5,29,0,-P16)</f>
        <v>3513.6391694599829</v>
      </c>
    </row>
    <row r="17" spans="2:22" ht="16">
      <c r="B17" s="4" t="s">
        <v>19</v>
      </c>
      <c r="C17" s="4"/>
      <c r="D17" s="26">
        <v>0</v>
      </c>
      <c r="E17" s="4"/>
      <c r="F17" s="4"/>
      <c r="G17" s="36"/>
      <c r="L17" s="236" t="s">
        <v>87</v>
      </c>
      <c r="M17" s="236"/>
      <c r="N17" s="236"/>
      <c r="O17" s="83">
        <f>E39</f>
        <v>0</v>
      </c>
      <c r="P17" s="84">
        <f t="shared" si="7"/>
        <v>0</v>
      </c>
      <c r="Q17" s="85">
        <f>FV($Q$5,1,0,-P17)</f>
        <v>0</v>
      </c>
      <c r="R17" s="86">
        <f>FV($R$5,4,0,-P17)</f>
        <v>0</v>
      </c>
      <c r="S17" s="86">
        <f>FV($S$5,9,0,-P17)</f>
        <v>0</v>
      </c>
      <c r="T17" s="86">
        <f>FV($T$5,14,0,-P17)</f>
        <v>0</v>
      </c>
      <c r="U17" s="86">
        <f>FV($U$5,19,0,-P17)</f>
        <v>0</v>
      </c>
      <c r="V17" s="86">
        <f>FV($V$5,29,0,-P17)</f>
        <v>0</v>
      </c>
    </row>
    <row r="18" spans="2:22" ht="16">
      <c r="B18" s="259"/>
      <c r="C18" s="260"/>
      <c r="D18" s="260"/>
      <c r="E18" s="260"/>
      <c r="F18" s="260"/>
      <c r="G18" s="261"/>
      <c r="L18" s="236" t="s">
        <v>42</v>
      </c>
      <c r="M18" s="236"/>
      <c r="N18" s="236"/>
      <c r="O18" s="83">
        <f>E40</f>
        <v>124.25000000000001</v>
      </c>
      <c r="P18" s="84">
        <f t="shared" si="7"/>
        <v>1491.0000000000002</v>
      </c>
      <c r="Q18" s="85">
        <f>FV($Q$5,1,0,-P18)</f>
        <v>1535.7300000000002</v>
      </c>
      <c r="R18" s="86">
        <f>FV($R$5,4,0,-P18)</f>
        <v>1678.1336357100001</v>
      </c>
      <c r="S18" s="86">
        <f>FV($S$5,9,0,-P18)</f>
        <v>1945.4168170894038</v>
      </c>
      <c r="T18" s="86">
        <f>FV($T$5,14,0,-P18)</f>
        <v>2255.2712797589706</v>
      </c>
      <c r="U18" s="86">
        <f>FV($U$5,19,0,-P18)</f>
        <v>2614.4775251379569</v>
      </c>
      <c r="V18" s="86">
        <f>FV($V$5,29,0,-P18)</f>
        <v>3513.6391694599829</v>
      </c>
    </row>
    <row r="19" spans="2:22" ht="16">
      <c r="B19" s="37" t="s">
        <v>38</v>
      </c>
      <c r="C19" s="38"/>
      <c r="D19" s="38" t="s">
        <v>18</v>
      </c>
      <c r="E19" s="38" t="s">
        <v>6</v>
      </c>
      <c r="F19" s="39" t="s">
        <v>5</v>
      </c>
      <c r="G19" s="24" t="s">
        <v>56</v>
      </c>
      <c r="L19" s="236" t="s">
        <v>9</v>
      </c>
      <c r="M19" s="236"/>
      <c r="N19" s="236"/>
      <c r="O19" s="83">
        <f>E30</f>
        <v>0</v>
      </c>
      <c r="P19" s="84">
        <f t="shared" si="7"/>
        <v>0</v>
      </c>
      <c r="Q19" s="85">
        <f>FV($Q$5,1,0,-P19)</f>
        <v>0</v>
      </c>
      <c r="R19" s="86">
        <f>FV($R$5,4,0,-P19)</f>
        <v>0</v>
      </c>
      <c r="S19" s="86">
        <f>FV($S$5,9,0,-P19)</f>
        <v>0</v>
      </c>
      <c r="T19" s="86">
        <f>FV($T$5,14,0,-P19)</f>
        <v>0</v>
      </c>
      <c r="U19" s="86">
        <f>FV($U$5,19,0,-P19)</f>
        <v>0</v>
      </c>
      <c r="V19" s="86">
        <f>FV($V$5,29,0,-P19)</f>
        <v>0</v>
      </c>
    </row>
    <row r="20" spans="2:22" ht="16">
      <c r="B20" s="259"/>
      <c r="C20" s="260"/>
      <c r="D20" s="260"/>
      <c r="E20" s="260"/>
      <c r="F20" s="260"/>
      <c r="G20" s="261"/>
      <c r="L20" s="236" t="s">
        <v>88</v>
      </c>
      <c r="M20" s="236"/>
      <c r="N20" s="236"/>
      <c r="O20" s="83">
        <f>E31</f>
        <v>0</v>
      </c>
      <c r="P20" s="84">
        <f t="shared" ref="P20:P27" si="8">O20*12</f>
        <v>0</v>
      </c>
      <c r="Q20" s="85">
        <f t="shared" ref="Q20:Q27" si="9">FV($Q$5,1,0,-P20)</f>
        <v>0</v>
      </c>
      <c r="R20" s="86">
        <f t="shared" ref="R20:R27" si="10">FV($R$5,4,0,-P20)</f>
        <v>0</v>
      </c>
      <c r="S20" s="86">
        <f t="shared" ref="S20:S26" si="11">FV($S$5,9,0,-P20)</f>
        <v>0</v>
      </c>
      <c r="T20" s="86">
        <f t="shared" ref="T20:T27" si="12">FV($T$5,14,0,-P20)</f>
        <v>0</v>
      </c>
      <c r="U20" s="86">
        <f t="shared" ref="U20:U27" si="13">FV($U$5,19,0,-P20)</f>
        <v>0</v>
      </c>
      <c r="V20" s="86">
        <f t="shared" ref="V20:V27" si="14">FV($V$5,29,0,-P20)</f>
        <v>0</v>
      </c>
    </row>
    <row r="21" spans="2:22" ht="16">
      <c r="B21" s="40" t="s">
        <v>39</v>
      </c>
      <c r="C21" s="4"/>
      <c r="D21" s="26">
        <v>1775</v>
      </c>
      <c r="E21" s="4"/>
      <c r="F21" s="4"/>
      <c r="G21" s="27"/>
      <c r="L21" s="223" t="s">
        <v>123</v>
      </c>
      <c r="M21" s="224"/>
      <c r="N21" s="225"/>
      <c r="O21" s="83">
        <f>E32</f>
        <v>0</v>
      </c>
      <c r="P21" s="84">
        <f t="shared" si="8"/>
        <v>0</v>
      </c>
      <c r="Q21" s="85">
        <f t="shared" si="9"/>
        <v>0</v>
      </c>
      <c r="R21" s="86">
        <f t="shared" si="10"/>
        <v>0</v>
      </c>
      <c r="S21" s="86">
        <f t="shared" si="11"/>
        <v>0</v>
      </c>
      <c r="T21" s="86">
        <f t="shared" si="12"/>
        <v>0</v>
      </c>
      <c r="U21" s="86">
        <f t="shared" si="13"/>
        <v>0</v>
      </c>
      <c r="V21" s="86">
        <f t="shared" si="14"/>
        <v>0</v>
      </c>
    </row>
    <row r="22" spans="2:22" ht="16">
      <c r="B22" s="40" t="s">
        <v>40</v>
      </c>
      <c r="C22" s="4"/>
      <c r="D22" s="26">
        <v>0</v>
      </c>
      <c r="E22" s="4"/>
      <c r="F22" s="4"/>
      <c r="G22" s="27"/>
      <c r="L22" s="236" t="s">
        <v>45</v>
      </c>
      <c r="M22" s="236"/>
      <c r="N22" s="236"/>
      <c r="O22" s="83">
        <f>E33</f>
        <v>0</v>
      </c>
      <c r="P22" s="84">
        <f t="shared" si="8"/>
        <v>0</v>
      </c>
      <c r="Q22" s="85">
        <f t="shared" si="9"/>
        <v>0</v>
      </c>
      <c r="R22" s="86">
        <f t="shared" si="10"/>
        <v>0</v>
      </c>
      <c r="S22" s="86">
        <f t="shared" si="11"/>
        <v>0</v>
      </c>
      <c r="T22" s="86">
        <f t="shared" si="12"/>
        <v>0</v>
      </c>
      <c r="U22" s="86">
        <f t="shared" si="13"/>
        <v>0</v>
      </c>
      <c r="V22" s="86">
        <f t="shared" si="14"/>
        <v>0</v>
      </c>
    </row>
    <row r="23" spans="2:22" ht="16">
      <c r="B23" s="40" t="s">
        <v>59</v>
      </c>
      <c r="C23" s="4"/>
      <c r="D23" s="26">
        <v>0</v>
      </c>
      <c r="E23" s="4"/>
      <c r="F23" s="4"/>
      <c r="G23" s="27"/>
      <c r="L23" s="223" t="s">
        <v>124</v>
      </c>
      <c r="M23" s="224"/>
      <c r="N23" s="225"/>
      <c r="O23" s="83">
        <f>E35</f>
        <v>0</v>
      </c>
      <c r="P23" s="84">
        <f t="shared" si="8"/>
        <v>0</v>
      </c>
      <c r="Q23" s="85">
        <f t="shared" si="9"/>
        <v>0</v>
      </c>
      <c r="R23" s="86">
        <f t="shared" si="10"/>
        <v>0</v>
      </c>
      <c r="S23" s="86">
        <f t="shared" si="11"/>
        <v>0</v>
      </c>
      <c r="T23" s="86">
        <f t="shared" si="12"/>
        <v>0</v>
      </c>
      <c r="U23" s="86">
        <f t="shared" si="13"/>
        <v>0</v>
      </c>
      <c r="V23" s="86">
        <f t="shared" si="14"/>
        <v>0</v>
      </c>
    </row>
    <row r="24" spans="2:22" ht="17" thickBot="1">
      <c r="B24" s="247"/>
      <c r="C24" s="248"/>
      <c r="D24" s="248"/>
      <c r="E24" s="248"/>
      <c r="F24" s="248"/>
      <c r="G24" s="249"/>
      <c r="L24" s="236" t="s">
        <v>48</v>
      </c>
      <c r="M24" s="236"/>
      <c r="N24" s="236"/>
      <c r="O24" s="83">
        <f>E34</f>
        <v>0</v>
      </c>
      <c r="P24" s="84">
        <f t="shared" si="8"/>
        <v>0</v>
      </c>
      <c r="Q24" s="85">
        <f t="shared" si="9"/>
        <v>0</v>
      </c>
      <c r="R24" s="86">
        <f t="shared" si="10"/>
        <v>0</v>
      </c>
      <c r="S24" s="86">
        <f t="shared" si="11"/>
        <v>0</v>
      </c>
      <c r="T24" s="86">
        <f t="shared" si="12"/>
        <v>0</v>
      </c>
      <c r="U24" s="86">
        <f t="shared" si="13"/>
        <v>0</v>
      </c>
      <c r="V24" s="86">
        <f t="shared" si="14"/>
        <v>0</v>
      </c>
    </row>
    <row r="25" spans="2:22" ht="17" thickTop="1">
      <c r="B25" s="218" t="s">
        <v>17</v>
      </c>
      <c r="C25" s="219"/>
      <c r="D25" s="220"/>
      <c r="E25" s="221">
        <f>SUM(D21:D22)</f>
        <v>1775</v>
      </c>
      <c r="F25" s="221">
        <f>E25*12</f>
        <v>21300</v>
      </c>
      <c r="G25" s="222"/>
      <c r="L25" s="244" t="s">
        <v>47</v>
      </c>
      <c r="M25" s="244"/>
      <c r="N25" s="244"/>
      <c r="O25" s="83">
        <f>E36</f>
        <v>0</v>
      </c>
      <c r="P25" s="84">
        <f t="shared" si="8"/>
        <v>0</v>
      </c>
      <c r="Q25" s="85">
        <f t="shared" si="9"/>
        <v>0</v>
      </c>
      <c r="R25" s="86">
        <f t="shared" si="10"/>
        <v>0</v>
      </c>
      <c r="S25" s="86">
        <f t="shared" si="11"/>
        <v>0</v>
      </c>
      <c r="T25" s="86">
        <f t="shared" si="12"/>
        <v>0</v>
      </c>
      <c r="U25" s="86">
        <f t="shared" si="13"/>
        <v>0</v>
      </c>
      <c r="V25" s="86">
        <f t="shared" si="14"/>
        <v>0</v>
      </c>
    </row>
    <row r="26" spans="2:22" ht="16">
      <c r="B26" s="262"/>
      <c r="C26" s="263"/>
      <c r="D26" s="263"/>
      <c r="E26" s="263"/>
      <c r="F26" s="263"/>
      <c r="G26" s="264"/>
      <c r="L26" s="244" t="s">
        <v>49</v>
      </c>
      <c r="M26" s="244"/>
      <c r="N26" s="244"/>
      <c r="O26" s="83">
        <f>E37</f>
        <v>0</v>
      </c>
      <c r="P26" s="84">
        <f t="shared" si="8"/>
        <v>0</v>
      </c>
      <c r="Q26" s="85">
        <f t="shared" si="9"/>
        <v>0</v>
      </c>
      <c r="R26" s="86">
        <f t="shared" si="10"/>
        <v>0</v>
      </c>
      <c r="S26" s="86">
        <f t="shared" si="11"/>
        <v>0</v>
      </c>
      <c r="T26" s="86">
        <f t="shared" si="12"/>
        <v>0</v>
      </c>
      <c r="U26" s="86">
        <f t="shared" si="13"/>
        <v>0</v>
      </c>
      <c r="V26" s="86">
        <f t="shared" si="14"/>
        <v>0</v>
      </c>
    </row>
    <row r="27" spans="2:22" ht="16">
      <c r="B27" s="42" t="s">
        <v>16</v>
      </c>
      <c r="C27" s="43" t="s">
        <v>15</v>
      </c>
      <c r="D27" s="43" t="s">
        <v>14</v>
      </c>
      <c r="E27" s="43" t="s">
        <v>6</v>
      </c>
      <c r="F27" s="44" t="s">
        <v>5</v>
      </c>
      <c r="G27" s="24" t="s">
        <v>56</v>
      </c>
      <c r="L27" s="236" t="s">
        <v>89</v>
      </c>
      <c r="M27" s="236"/>
      <c r="N27" s="236"/>
      <c r="O27" s="83">
        <f>E41</f>
        <v>88.75</v>
      </c>
      <c r="P27" s="84">
        <f t="shared" si="8"/>
        <v>1065</v>
      </c>
      <c r="Q27" s="85">
        <f t="shared" si="9"/>
        <v>1096.95</v>
      </c>
      <c r="R27" s="86">
        <f t="shared" si="10"/>
        <v>1198.6668826499999</v>
      </c>
      <c r="S27" s="145">
        <f>FV($S$5,9,0,-P27)</f>
        <v>1389.5834407781454</v>
      </c>
      <c r="T27" s="86">
        <f t="shared" si="12"/>
        <v>1610.9080569706932</v>
      </c>
      <c r="U27" s="86">
        <f t="shared" si="13"/>
        <v>1867.4839465271118</v>
      </c>
      <c r="V27" s="86">
        <f t="shared" si="14"/>
        <v>2509.7422638999874</v>
      </c>
    </row>
    <row r="28" spans="2:22" ht="16">
      <c r="B28" s="4" t="s">
        <v>13</v>
      </c>
      <c r="C28" s="45" t="s">
        <v>12</v>
      </c>
      <c r="D28" s="26">
        <v>4000</v>
      </c>
      <c r="E28" s="30">
        <f t="shared" ref="E28:E37" si="15">IF(UPPER(C28)="Y",D28/12,D28)</f>
        <v>333.33333333333331</v>
      </c>
      <c r="F28" s="30">
        <f t="shared" ref="F28:F37" si="16">IF(UPPER(D28)="Y",E28,E28*12)</f>
        <v>4000</v>
      </c>
      <c r="G28" s="27"/>
      <c r="L28" s="229" t="s">
        <v>7</v>
      </c>
      <c r="M28" s="229"/>
      <c r="N28" s="229"/>
      <c r="O28" s="95">
        <f t="shared" ref="O28:V28" si="17">SUM(O14:O27)</f>
        <v>745.58333333333337</v>
      </c>
      <c r="P28" s="88">
        <f t="shared" si="17"/>
        <v>8947</v>
      </c>
      <c r="Q28" s="96">
        <f t="shared" si="17"/>
        <v>9215.4100000000017</v>
      </c>
      <c r="R28" s="97">
        <f t="shared" si="17"/>
        <v>10069.927323069998</v>
      </c>
      <c r="S28" s="97">
        <f t="shared" si="17"/>
        <v>11673.805675720252</v>
      </c>
      <c r="T28" s="97">
        <f t="shared" si="17"/>
        <v>13533.140268278677</v>
      </c>
      <c r="U28" s="97">
        <f t="shared" si="17"/>
        <v>15688.618656880817</v>
      </c>
      <c r="V28" s="97">
        <f t="shared" si="17"/>
        <v>21084.191582265907</v>
      </c>
    </row>
    <row r="29" spans="2:22" ht="16">
      <c r="B29" s="4" t="s">
        <v>11</v>
      </c>
      <c r="C29" s="45" t="s">
        <v>10</v>
      </c>
      <c r="D29" s="26">
        <v>900</v>
      </c>
      <c r="E29" s="30">
        <f t="shared" si="15"/>
        <v>75</v>
      </c>
      <c r="F29" s="30">
        <f t="shared" si="16"/>
        <v>900</v>
      </c>
      <c r="G29" s="27"/>
      <c r="L29" s="231" t="s">
        <v>77</v>
      </c>
      <c r="M29" s="231"/>
      <c r="N29" s="231"/>
      <c r="O29" s="98"/>
      <c r="P29" s="99">
        <f t="shared" ref="P29:V29" si="18">(P28-P27)/P9</f>
        <v>0.37004694835680751</v>
      </c>
      <c r="Q29" s="71">
        <f t="shared" si="18"/>
        <v>0.37004694835680757</v>
      </c>
      <c r="R29" s="71">
        <f t="shared" si="18"/>
        <v>0.37004694835680751</v>
      </c>
      <c r="S29" s="71">
        <f t="shared" si="18"/>
        <v>0.37004694835680757</v>
      </c>
      <c r="T29" s="71">
        <f t="shared" si="18"/>
        <v>0.37004694835680751</v>
      </c>
      <c r="U29" s="71">
        <f t="shared" si="18"/>
        <v>0.37004694835680751</v>
      </c>
      <c r="V29" s="71">
        <f t="shared" si="18"/>
        <v>0.37004694835680757</v>
      </c>
    </row>
    <row r="30" spans="2:22" ht="16">
      <c r="B30" s="4" t="s">
        <v>9</v>
      </c>
      <c r="C30" s="45" t="s">
        <v>10</v>
      </c>
      <c r="D30" s="26">
        <v>0</v>
      </c>
      <c r="E30" s="30">
        <f t="shared" si="15"/>
        <v>0</v>
      </c>
      <c r="F30" s="30">
        <f t="shared" si="16"/>
        <v>0</v>
      </c>
      <c r="G30" s="27"/>
      <c r="L30" s="100"/>
      <c r="M30" s="101"/>
      <c r="N30" s="101"/>
      <c r="O30" s="102"/>
      <c r="P30" s="91"/>
      <c r="Q30" s="103"/>
      <c r="R30" s="103"/>
      <c r="S30" s="103"/>
      <c r="T30" s="103"/>
      <c r="U30" s="103"/>
      <c r="V30" s="104"/>
    </row>
    <row r="31" spans="2:22" ht="16">
      <c r="B31" s="4" t="s">
        <v>46</v>
      </c>
      <c r="C31" s="45" t="s">
        <v>10</v>
      </c>
      <c r="D31" s="26">
        <v>0</v>
      </c>
      <c r="E31" s="30">
        <f t="shared" si="15"/>
        <v>0</v>
      </c>
      <c r="F31" s="30">
        <f t="shared" si="16"/>
        <v>0</v>
      </c>
      <c r="G31" s="27"/>
      <c r="L31" s="235" t="s">
        <v>4</v>
      </c>
      <c r="M31" s="235"/>
      <c r="N31" s="235"/>
      <c r="O31" s="105"/>
      <c r="P31" s="88">
        <f t="shared" ref="P31:V31" si="19">P11-P28</f>
        <v>12353</v>
      </c>
      <c r="Q31" s="106">
        <f t="shared" si="19"/>
        <v>12723.589999999998</v>
      </c>
      <c r="R31" s="106">
        <f t="shared" si="19"/>
        <v>13903.41032993</v>
      </c>
      <c r="S31" s="106">
        <f t="shared" si="19"/>
        <v>16117.863139842653</v>
      </c>
      <c r="T31" s="106">
        <f t="shared" si="19"/>
        <v>18685.020871135188</v>
      </c>
      <c r="U31" s="106">
        <f t="shared" si="19"/>
        <v>21661.060273661416</v>
      </c>
      <c r="V31" s="106">
        <f t="shared" si="19"/>
        <v>29110.653695733839</v>
      </c>
    </row>
    <row r="32" spans="2:22" ht="16">
      <c r="B32" s="4" t="s">
        <v>123</v>
      </c>
      <c r="C32" s="45" t="s">
        <v>10</v>
      </c>
      <c r="D32" s="26">
        <v>0</v>
      </c>
      <c r="E32" s="30">
        <f t="shared" si="15"/>
        <v>0</v>
      </c>
      <c r="F32" s="30">
        <f t="shared" si="16"/>
        <v>0</v>
      </c>
      <c r="G32" s="27"/>
      <c r="L32" s="232"/>
      <c r="M32" s="233"/>
      <c r="N32" s="233"/>
      <c r="O32" s="234"/>
      <c r="P32" s="80"/>
      <c r="Q32" s="103"/>
      <c r="R32" s="103"/>
      <c r="S32" s="103"/>
      <c r="T32" s="103"/>
      <c r="U32" s="103"/>
      <c r="V32" s="104"/>
    </row>
    <row r="33" spans="2:22" ht="16">
      <c r="B33" s="4" t="s">
        <v>45</v>
      </c>
      <c r="C33" s="45" t="s">
        <v>10</v>
      </c>
      <c r="D33" s="26">
        <v>0</v>
      </c>
      <c r="E33" s="30">
        <f t="shared" si="15"/>
        <v>0</v>
      </c>
      <c r="F33" s="30">
        <f t="shared" si="16"/>
        <v>0</v>
      </c>
      <c r="G33" s="27"/>
      <c r="L33" s="107" t="s">
        <v>78</v>
      </c>
      <c r="M33" s="108"/>
      <c r="N33" s="109"/>
      <c r="O33" s="110"/>
      <c r="P33" s="80"/>
      <c r="Q33" s="111"/>
      <c r="R33" s="112"/>
      <c r="S33" s="112"/>
      <c r="T33" s="112"/>
      <c r="U33" s="112"/>
      <c r="V33" s="113"/>
    </row>
    <row r="34" spans="2:22" ht="16">
      <c r="B34" s="4" t="s">
        <v>48</v>
      </c>
      <c r="C34" s="45" t="s">
        <v>10</v>
      </c>
      <c r="D34" s="26">
        <v>0</v>
      </c>
      <c r="E34" s="30">
        <f t="shared" si="15"/>
        <v>0</v>
      </c>
      <c r="F34" s="30">
        <f t="shared" si="16"/>
        <v>0</v>
      </c>
      <c r="G34" s="27"/>
      <c r="L34" s="236" t="s">
        <v>79</v>
      </c>
      <c r="M34" s="236"/>
      <c r="N34" s="236"/>
      <c r="O34" s="86">
        <f>E46</f>
        <v>1029.4166666666665</v>
      </c>
      <c r="P34" s="84">
        <f>O34*12</f>
        <v>12352.999999999998</v>
      </c>
      <c r="Q34" s="86">
        <f>Q31</f>
        <v>12723.589999999998</v>
      </c>
      <c r="R34" s="86">
        <f t="shared" ref="R34:V34" si="20">R31</f>
        <v>13903.41032993</v>
      </c>
      <c r="S34" s="86">
        <f t="shared" si="20"/>
        <v>16117.863139842653</v>
      </c>
      <c r="T34" s="86">
        <f t="shared" si="20"/>
        <v>18685.020871135188</v>
      </c>
      <c r="U34" s="86">
        <f t="shared" si="20"/>
        <v>21661.060273661416</v>
      </c>
      <c r="V34" s="86">
        <f t="shared" si="20"/>
        <v>29110.653695733839</v>
      </c>
    </row>
    <row r="35" spans="2:22" ht="16">
      <c r="B35" s="4" t="s">
        <v>124</v>
      </c>
      <c r="C35" s="45" t="s">
        <v>10</v>
      </c>
      <c r="D35" s="26">
        <v>0</v>
      </c>
      <c r="E35" s="30">
        <f t="shared" si="15"/>
        <v>0</v>
      </c>
      <c r="F35" s="30">
        <f t="shared" si="16"/>
        <v>0</v>
      </c>
      <c r="G35" s="27"/>
      <c r="L35" s="236" t="s">
        <v>80</v>
      </c>
      <c r="M35" s="236"/>
      <c r="N35" s="236"/>
      <c r="O35" s="86">
        <f>E47</f>
        <v>-729.44585185789845</v>
      </c>
      <c r="P35" s="84">
        <f>O35*12</f>
        <v>-8753.3502222947809</v>
      </c>
      <c r="Q35" s="86">
        <f t="shared" ref="Q35:V35" si="21">P35</f>
        <v>-8753.3502222947809</v>
      </c>
      <c r="R35" s="86">
        <f>Q35</f>
        <v>-8753.3502222947809</v>
      </c>
      <c r="S35" s="86">
        <f t="shared" si="21"/>
        <v>-8753.3502222947809</v>
      </c>
      <c r="T35" s="86">
        <f t="shared" si="21"/>
        <v>-8753.3502222947809</v>
      </c>
      <c r="U35" s="86">
        <f t="shared" si="21"/>
        <v>-8753.3502222947809</v>
      </c>
      <c r="V35" s="86">
        <f t="shared" si="21"/>
        <v>-8753.3502222947809</v>
      </c>
    </row>
    <row r="36" spans="2:22" ht="16">
      <c r="B36" s="4" t="s">
        <v>47</v>
      </c>
      <c r="C36" s="45" t="s">
        <v>10</v>
      </c>
      <c r="D36" s="26">
        <v>0</v>
      </c>
      <c r="E36" s="30">
        <f t="shared" si="15"/>
        <v>0</v>
      </c>
      <c r="F36" s="30">
        <f t="shared" si="16"/>
        <v>0</v>
      </c>
      <c r="G36" s="27"/>
      <c r="L36" s="229" t="s">
        <v>81</v>
      </c>
      <c r="M36" s="229"/>
      <c r="N36" s="229"/>
      <c r="O36" s="97">
        <f t="shared" ref="O36:V36" si="22">O34+O35</f>
        <v>299.97081480876807</v>
      </c>
      <c r="P36" s="88">
        <f t="shared" si="22"/>
        <v>3599.6497777052173</v>
      </c>
      <c r="Q36" s="97">
        <f t="shared" si="22"/>
        <v>3970.2397777052174</v>
      </c>
      <c r="R36" s="97">
        <f t="shared" si="22"/>
        <v>5150.0601076352195</v>
      </c>
      <c r="S36" s="97">
        <f t="shared" si="22"/>
        <v>7364.5129175478723</v>
      </c>
      <c r="T36" s="97">
        <f t="shared" si="22"/>
        <v>9931.670648840407</v>
      </c>
      <c r="U36" s="97">
        <f t="shared" si="22"/>
        <v>12907.710051366636</v>
      </c>
      <c r="V36" s="97">
        <f t="shared" si="22"/>
        <v>20357.30347343906</v>
      </c>
    </row>
    <row r="37" spans="2:22" ht="16">
      <c r="B37" s="4" t="s">
        <v>49</v>
      </c>
      <c r="C37" s="45" t="s">
        <v>10</v>
      </c>
      <c r="D37" s="26">
        <v>0</v>
      </c>
      <c r="E37" s="30">
        <f t="shared" si="15"/>
        <v>0</v>
      </c>
      <c r="F37" s="30">
        <f t="shared" si="16"/>
        <v>0</v>
      </c>
      <c r="G37" s="27"/>
      <c r="L37" s="229" t="s">
        <v>90</v>
      </c>
      <c r="M37" s="229"/>
      <c r="N37" s="229"/>
      <c r="O37" s="97"/>
      <c r="P37" s="212">
        <f t="shared" ref="P37:V37" si="23">P36/$D$49</f>
        <v>7.4526910511495181E-2</v>
      </c>
      <c r="Q37" s="213">
        <f t="shared" si="23"/>
        <v>8.2199581318948597E-2</v>
      </c>
      <c r="R37" s="213">
        <f t="shared" si="23"/>
        <v>0.10662650326366914</v>
      </c>
      <c r="S37" s="213">
        <f t="shared" si="23"/>
        <v>0.15247438752687106</v>
      </c>
      <c r="T37" s="213">
        <f t="shared" si="23"/>
        <v>0.20562465111470821</v>
      </c>
      <c r="U37" s="213">
        <f t="shared" si="23"/>
        <v>0.26724037373429887</v>
      </c>
      <c r="V37" s="213">
        <f t="shared" si="23"/>
        <v>0.42147626239004266</v>
      </c>
    </row>
    <row r="38" spans="2:22" ht="16">
      <c r="B38" s="4" t="s">
        <v>43</v>
      </c>
      <c r="C38" s="46"/>
      <c r="D38" s="47">
        <v>7.0000000000000007E-2</v>
      </c>
      <c r="E38" s="30">
        <f>$E$25*D38</f>
        <v>124.25000000000001</v>
      </c>
      <c r="F38" s="30">
        <f>E38*12</f>
        <v>1491.0000000000002</v>
      </c>
      <c r="G38" s="27"/>
      <c r="L38" s="230" t="s">
        <v>82</v>
      </c>
      <c r="M38" s="230"/>
      <c r="N38" s="230"/>
      <c r="O38" s="86"/>
      <c r="P38" s="84">
        <f>-CUMPRINC($D$13/12,12*$D$16, ($D$8-$D$9), 1, 12, 0)</f>
        <v>3361.8691655363114</v>
      </c>
      <c r="Q38" s="86">
        <f>-CUMPRINC($D$13/12,12*$D$16, ($D$8-$D$9), 13, 24, 0)</f>
        <v>3472.8761294002352</v>
      </c>
      <c r="R38" s="86">
        <f>-CUMPRINC($D$13/12,12*$D$16, ($D$8-$D$9), 24, (5*12)+12, 0)</f>
        <v>15370.456253769782</v>
      </c>
      <c r="S38" s="86">
        <f>-CUMPRINC($D$13/12,12*$D$16, ($D$8-$D$9), (5*12)+12, (10*12)+12, 0)</f>
        <v>22155.608801028895</v>
      </c>
      <c r="T38" s="86">
        <f>-CUMPRINC($D$13/12,12*$D$16, ($D$8-$D$9), (10*12)+12, (15*12)+12, 0)</f>
        <v>26063.102649480072</v>
      </c>
      <c r="U38" s="86">
        <f>-CUMPRINC($D$13/12,12*$D$16, ($D$8-$D$9), (15*12)+12, (20*12)+12, 0)</f>
        <v>30659.745160592909</v>
      </c>
      <c r="V38" s="86">
        <f>-CUMPRINC($D$13/12,12*$D$16, ($D$8-$D$9), (20*12)+12, (29*12)+10, 0)</f>
        <v>67488.550005431607</v>
      </c>
    </row>
    <row r="39" spans="2:22" ht="16">
      <c r="B39" s="4" t="s">
        <v>44</v>
      </c>
      <c r="C39" s="46"/>
      <c r="D39" s="47">
        <v>0</v>
      </c>
      <c r="E39" s="30">
        <f>$E$25*D39</f>
        <v>0</v>
      </c>
      <c r="F39" s="30">
        <f>E39*12</f>
        <v>0</v>
      </c>
      <c r="G39" s="48"/>
      <c r="L39" s="229" t="s">
        <v>55</v>
      </c>
      <c r="M39" s="229"/>
      <c r="N39" s="229"/>
      <c r="O39" s="114"/>
      <c r="P39" s="88">
        <f t="shared" ref="P39:V39" si="24">P36+P38</f>
        <v>6961.5189432415282</v>
      </c>
      <c r="Q39" s="97">
        <f t="shared" si="24"/>
        <v>7443.1159071054526</v>
      </c>
      <c r="R39" s="97">
        <f t="shared" si="24"/>
        <v>20520.516361405003</v>
      </c>
      <c r="S39" s="97">
        <f t="shared" si="24"/>
        <v>29520.121718576767</v>
      </c>
      <c r="T39" s="97">
        <f t="shared" si="24"/>
        <v>35994.773298320477</v>
      </c>
      <c r="U39" s="97">
        <f t="shared" si="24"/>
        <v>43567.455211959546</v>
      </c>
      <c r="V39" s="97">
        <f t="shared" si="24"/>
        <v>87845.853478870675</v>
      </c>
    </row>
    <row r="40" spans="2:22" ht="16">
      <c r="B40" s="4" t="s">
        <v>42</v>
      </c>
      <c r="C40" s="49"/>
      <c r="D40" s="47">
        <v>7.0000000000000007E-2</v>
      </c>
      <c r="E40" s="30">
        <f>$E$25*D40</f>
        <v>124.25000000000001</v>
      </c>
      <c r="F40" s="30">
        <f>E40*12</f>
        <v>1491.0000000000002</v>
      </c>
      <c r="G40" s="27"/>
      <c r="L40" s="229" t="s">
        <v>83</v>
      </c>
      <c r="M40" s="229"/>
      <c r="N40" s="229"/>
      <c r="O40" s="114"/>
      <c r="P40" s="117">
        <f>P39/$D$49</f>
        <v>0.14413082698222626</v>
      </c>
      <c r="Q40" s="115">
        <f>Q39/$D$49</f>
        <v>0.15410177861501972</v>
      </c>
      <c r="R40" s="115">
        <f t="shared" ref="R40:V40" si="25">R39/$D$49</f>
        <v>0.42485541120921333</v>
      </c>
      <c r="S40" s="115">
        <f t="shared" si="25"/>
        <v>0.61118264427695168</v>
      </c>
      <c r="T40" s="115">
        <f t="shared" si="25"/>
        <v>0.74523340162154195</v>
      </c>
      <c r="U40" s="115">
        <f t="shared" si="25"/>
        <v>0.90201770625175048</v>
      </c>
      <c r="V40" s="115">
        <f t="shared" si="25"/>
        <v>1.8187547304114011</v>
      </c>
    </row>
    <row r="41" spans="2:22" ht="16">
      <c r="B41" s="4" t="s">
        <v>8</v>
      </c>
      <c r="C41" s="46"/>
      <c r="D41" s="47">
        <v>0.05</v>
      </c>
      <c r="E41" s="30">
        <f>$E$25*D41</f>
        <v>88.75</v>
      </c>
      <c r="F41" s="30">
        <f>E41*12</f>
        <v>1065</v>
      </c>
      <c r="G41" s="27"/>
      <c r="L41" s="118"/>
      <c r="M41" s="119"/>
      <c r="N41" s="119"/>
      <c r="O41" s="120"/>
      <c r="P41" s="121"/>
      <c r="Q41" s="120"/>
      <c r="R41" s="120"/>
      <c r="S41" s="120"/>
      <c r="T41" s="120"/>
      <c r="U41" s="120"/>
      <c r="V41" s="122"/>
    </row>
    <row r="42" spans="2:22" ht="17" thickBot="1">
      <c r="B42" s="247"/>
      <c r="C42" s="248"/>
      <c r="D42" s="248"/>
      <c r="E42" s="248"/>
      <c r="F42" s="248"/>
      <c r="G42" s="249"/>
      <c r="L42" s="123" t="s">
        <v>84</v>
      </c>
      <c r="M42" s="124"/>
      <c r="N42" s="124"/>
      <c r="O42" s="125"/>
      <c r="P42" s="126">
        <f>-P34/P35</f>
        <v>1.4112310928148299</v>
      </c>
      <c r="Q42" s="127">
        <f>-Q34/Q35</f>
        <v>1.4535680255992749</v>
      </c>
      <c r="R42" s="128">
        <f t="shared" ref="R42:V42" si="26">-R34/R35</f>
        <v>1.588353027909019</v>
      </c>
      <c r="S42" s="128">
        <f t="shared" si="26"/>
        <v>1.8413364860908294</v>
      </c>
      <c r="T42" s="128">
        <f t="shared" si="26"/>
        <v>2.1346136503877617</v>
      </c>
      <c r="U42" s="128">
        <f t="shared" si="26"/>
        <v>2.4746022635414153</v>
      </c>
      <c r="V42" s="129">
        <f t="shared" si="26"/>
        <v>3.325658514335347</v>
      </c>
    </row>
    <row r="43" spans="2:22" ht="17" thickTop="1">
      <c r="B43" s="219" t="s">
        <v>7</v>
      </c>
      <c r="C43" s="219"/>
      <c r="D43" s="220"/>
      <c r="E43" s="221">
        <f>SUM(E28:E42)</f>
        <v>745.58333333333337</v>
      </c>
      <c r="F43" s="221">
        <f>SUM(F28:F42)</f>
        <v>8947</v>
      </c>
      <c r="G43" s="222"/>
      <c r="L43" s="130"/>
      <c r="M43" s="103"/>
      <c r="N43" s="103"/>
      <c r="O43" s="103"/>
      <c r="P43" s="131"/>
      <c r="Q43" s="132"/>
      <c r="R43" s="132"/>
      <c r="S43" s="132"/>
      <c r="T43" s="132"/>
      <c r="U43" s="132"/>
      <c r="V43" s="133"/>
    </row>
    <row r="44" spans="2:22" ht="16">
      <c r="B44" s="250"/>
      <c r="C44" s="251"/>
      <c r="D44" s="251"/>
      <c r="E44" s="251"/>
      <c r="F44" s="251"/>
      <c r="G44" s="252"/>
      <c r="L44" s="223" t="s">
        <v>85</v>
      </c>
      <c r="M44" s="224"/>
      <c r="N44" s="225"/>
      <c r="O44" s="134"/>
      <c r="P44" s="116">
        <f>P38</f>
        <v>3361.8691655363114</v>
      </c>
      <c r="Q44" s="86">
        <f>Q38+P44</f>
        <v>6834.745294936547</v>
      </c>
      <c r="R44" s="86">
        <f>R38+Q44</f>
        <v>22205.201548706329</v>
      </c>
      <c r="S44" s="86">
        <f>S38+R44</f>
        <v>44360.810349735228</v>
      </c>
      <c r="T44" s="86">
        <f t="shared" ref="T44:V44" si="27">T38+S44</f>
        <v>70423.912999215303</v>
      </c>
      <c r="U44" s="86">
        <f t="shared" si="27"/>
        <v>101083.65815980821</v>
      </c>
      <c r="V44" s="86">
        <f t="shared" si="27"/>
        <v>168572.20816523983</v>
      </c>
    </row>
    <row r="45" spans="2:22" ht="16">
      <c r="B45" s="42" t="s">
        <v>58</v>
      </c>
      <c r="C45" s="43"/>
      <c r="D45" s="43"/>
      <c r="E45" s="43" t="s">
        <v>6</v>
      </c>
      <c r="F45" s="44" t="s">
        <v>5</v>
      </c>
      <c r="G45" s="50" t="s">
        <v>56</v>
      </c>
      <c r="L45" s="223" t="s">
        <v>86</v>
      </c>
      <c r="M45" s="224"/>
      <c r="N45" s="225"/>
      <c r="O45" s="134"/>
      <c r="P45" s="135">
        <f>$D$11-P44</f>
        <v>164638.13083446369</v>
      </c>
      <c r="Q45" s="86">
        <f>$D$11-Q44</f>
        <v>161165.25470506345</v>
      </c>
      <c r="R45" s="86">
        <f t="shared" ref="R45:V45" si="28">$D$11-R44</f>
        <v>145794.79845129367</v>
      </c>
      <c r="S45" s="86">
        <f>$D$11-S44</f>
        <v>123639.18965026477</v>
      </c>
      <c r="T45" s="86">
        <f t="shared" si="28"/>
        <v>97576.087000784697</v>
      </c>
      <c r="U45" s="86">
        <f t="shared" si="28"/>
        <v>66916.341840191788</v>
      </c>
      <c r="V45" s="86">
        <f t="shared" si="28"/>
        <v>-572.20816523983376</v>
      </c>
    </row>
    <row r="46" spans="2:22" ht="16">
      <c r="B46" s="4" t="s">
        <v>4</v>
      </c>
      <c r="C46" s="51"/>
      <c r="D46" s="52"/>
      <c r="E46" s="41">
        <f>E25-E43</f>
        <v>1029.4166666666665</v>
      </c>
      <c r="F46" s="41">
        <f>F25-F43</f>
        <v>12353</v>
      </c>
      <c r="G46" s="27"/>
      <c r="L46" s="10"/>
      <c r="M46" s="10"/>
      <c r="N46" s="10"/>
      <c r="O46" s="10"/>
      <c r="P46" s="10"/>
      <c r="Q46" s="10"/>
      <c r="R46" s="10"/>
      <c r="S46" s="10"/>
      <c r="T46" s="10"/>
      <c r="U46" s="10"/>
      <c r="V46" s="10"/>
    </row>
    <row r="47" spans="2:22" ht="16">
      <c r="B47" s="4" t="s">
        <v>65</v>
      </c>
      <c r="C47" s="51"/>
      <c r="D47" s="52"/>
      <c r="E47" s="41">
        <f>-E11-E14</f>
        <v>-729.44585185789845</v>
      </c>
      <c r="F47" s="41">
        <f>-F11-F14</f>
        <v>-8753.3502222947809</v>
      </c>
      <c r="G47" s="27"/>
      <c r="L47" s="10"/>
      <c r="M47" s="10"/>
      <c r="N47" s="10"/>
      <c r="O47" s="10"/>
      <c r="P47" s="10"/>
      <c r="Q47" s="10"/>
      <c r="R47" s="10"/>
      <c r="S47" s="10"/>
      <c r="T47" s="10"/>
      <c r="U47" s="10"/>
      <c r="V47" s="10"/>
    </row>
    <row r="48" spans="2:22" ht="16">
      <c r="B48" s="4" t="s">
        <v>3</v>
      </c>
      <c r="C48" s="51"/>
      <c r="D48" s="53">
        <f>F48/D49</f>
        <v>7.4526910511495223E-2</v>
      </c>
      <c r="E48" s="41">
        <f>E46+E47</f>
        <v>299.97081480876807</v>
      </c>
      <c r="F48" s="41">
        <f>F46+F47</f>
        <v>3599.6497777052191</v>
      </c>
      <c r="G48" s="27"/>
    </row>
    <row r="49" spans="2:7" ht="16">
      <c r="B49" s="4" t="s">
        <v>2</v>
      </c>
      <c r="C49" s="4"/>
      <c r="D49" s="54">
        <f>D9+D12+D17</f>
        <v>48300</v>
      </c>
      <c r="E49" s="51"/>
      <c r="F49" s="51"/>
      <c r="G49" s="27"/>
    </row>
    <row r="50" spans="2:7" ht="16">
      <c r="B50" s="3" t="s">
        <v>1</v>
      </c>
      <c r="C50" s="55"/>
      <c r="D50" s="143">
        <f>F46/D8</f>
        <v>5.8823809523809521E-2</v>
      </c>
      <c r="E50" s="56"/>
      <c r="F50" s="4"/>
      <c r="G50" s="27"/>
    </row>
    <row r="51" spans="2:7" ht="16">
      <c r="B51" s="4" t="s">
        <v>60</v>
      </c>
      <c r="C51" s="51"/>
      <c r="D51" s="57">
        <f>D49/F48</f>
        <v>13.417972020264513</v>
      </c>
      <c r="E51" s="51"/>
      <c r="F51" s="51"/>
      <c r="G51" s="27"/>
    </row>
    <row r="52" spans="2:7" ht="16">
      <c r="B52" s="4" t="s">
        <v>132</v>
      </c>
      <c r="C52" s="51"/>
      <c r="D52" s="54">
        <f>P38</f>
        <v>3361.8691655363114</v>
      </c>
      <c r="E52" s="51"/>
      <c r="F52" s="51"/>
      <c r="G52" s="27"/>
    </row>
    <row r="53" spans="2:7" ht="16">
      <c r="B53" s="3" t="s">
        <v>50</v>
      </c>
      <c r="C53" s="4"/>
      <c r="D53" s="144">
        <f>F48/D49</f>
        <v>7.4526910511495223E-2</v>
      </c>
      <c r="E53" s="4"/>
      <c r="F53" s="4"/>
      <c r="G53" s="27"/>
    </row>
    <row r="54" spans="2:7" ht="16">
      <c r="B54" s="4" t="s">
        <v>133</v>
      </c>
      <c r="C54" s="4"/>
      <c r="D54" s="142">
        <f>E47+E25/2</f>
        <v>158.05414814210155</v>
      </c>
      <c r="E54" s="4"/>
      <c r="F54" s="4"/>
      <c r="G54" s="216"/>
    </row>
    <row r="55" spans="2:7" ht="16">
      <c r="B55" s="4" t="s">
        <v>122</v>
      </c>
      <c r="C55" s="4"/>
      <c r="D55" s="142">
        <f>D8/J7</f>
        <v>105</v>
      </c>
      <c r="E55" s="4"/>
      <c r="F55" s="4"/>
      <c r="G55" s="27"/>
    </row>
    <row r="56" spans="2:7" ht="16">
      <c r="B56" s="253"/>
      <c r="C56" s="254"/>
      <c r="D56" s="254"/>
      <c r="E56" s="254"/>
      <c r="F56" s="254"/>
      <c r="G56" s="255"/>
    </row>
    <row r="57" spans="2:7">
      <c r="B57" s="8"/>
      <c r="C57" s="8"/>
      <c r="D57" s="8"/>
      <c r="E57" s="8"/>
      <c r="F57" s="8"/>
      <c r="G57" s="8"/>
    </row>
    <row r="58" spans="2:7" ht="25">
      <c r="D58" s="226" t="s">
        <v>95</v>
      </c>
      <c r="E58" s="227"/>
      <c r="F58" s="227"/>
      <c r="G58" s="228"/>
    </row>
    <row r="59" spans="2:7" ht="16">
      <c r="D59" s="58" t="s">
        <v>91</v>
      </c>
      <c r="E59" s="59" t="s">
        <v>92</v>
      </c>
      <c r="F59" s="59" t="s">
        <v>16</v>
      </c>
      <c r="G59" s="59" t="s">
        <v>93</v>
      </c>
    </row>
    <row r="60" spans="2:7" ht="16">
      <c r="D60" s="60">
        <f>$D$8-($D$8*0.02)</f>
        <v>205800</v>
      </c>
      <c r="E60" s="60">
        <f t="shared" ref="E60:E70" si="29">-PMT($D$13/12,12*$D$16, D60-($D$10*D60))</f>
        <v>716.79479282821706</v>
      </c>
      <c r="F60" s="60">
        <f t="shared" ref="F60:F70" si="30">$E$43+E60</f>
        <v>1462.3781261615504</v>
      </c>
      <c r="G60" s="61">
        <f>$E$25-F60</f>
        <v>312.62187383844957</v>
      </c>
    </row>
    <row r="61" spans="2:7" ht="16">
      <c r="D61" s="60">
        <f>$D$8-($D$8*0.03)</f>
        <v>203700</v>
      </c>
      <c r="E61" s="60">
        <f t="shared" si="29"/>
        <v>709.48056024833727</v>
      </c>
      <c r="F61" s="60">
        <f t="shared" si="30"/>
        <v>1455.0638935816705</v>
      </c>
      <c r="G61" s="61">
        <f t="shared" ref="G61:G70" si="31">$E$25-F61</f>
        <v>319.93610641832947</v>
      </c>
    </row>
    <row r="62" spans="2:7" ht="16">
      <c r="D62" s="60">
        <f>$D$8-($D$8*0.04)</f>
        <v>201600</v>
      </c>
      <c r="E62" s="60">
        <f t="shared" si="29"/>
        <v>702.16632766845748</v>
      </c>
      <c r="F62" s="60">
        <f t="shared" si="30"/>
        <v>1447.7496610017909</v>
      </c>
      <c r="G62" s="61">
        <f t="shared" si="31"/>
        <v>327.25033899820914</v>
      </c>
    </row>
    <row r="63" spans="2:7" ht="16">
      <c r="D63" s="60">
        <f>$D$8-($D$8*0.05)</f>
        <v>199500</v>
      </c>
      <c r="E63" s="60">
        <f t="shared" si="29"/>
        <v>694.8520950885777</v>
      </c>
      <c r="F63" s="60">
        <f t="shared" si="30"/>
        <v>1440.4354284219112</v>
      </c>
      <c r="G63" s="61">
        <f t="shared" si="31"/>
        <v>334.56457157808882</v>
      </c>
    </row>
    <row r="64" spans="2:7" ht="16">
      <c r="D64" s="60">
        <f>$D$8-($D$8*0.06)</f>
        <v>197400</v>
      </c>
      <c r="E64" s="60">
        <f t="shared" si="29"/>
        <v>687.53786250869791</v>
      </c>
      <c r="F64" s="60">
        <f t="shared" si="30"/>
        <v>1433.1211958420313</v>
      </c>
      <c r="G64" s="61">
        <f t="shared" si="31"/>
        <v>341.87880415796872</v>
      </c>
    </row>
    <row r="65" spans="4:7" ht="16">
      <c r="D65" s="60">
        <f>$D$8-($D$8*0.07)</f>
        <v>195300</v>
      </c>
      <c r="E65" s="60">
        <f t="shared" si="29"/>
        <v>680.22362992881824</v>
      </c>
      <c r="F65" s="60">
        <f t="shared" si="30"/>
        <v>1425.8069632621516</v>
      </c>
      <c r="G65" s="61">
        <f t="shared" si="31"/>
        <v>349.19303673784839</v>
      </c>
    </row>
    <row r="66" spans="4:7" ht="16">
      <c r="D66" s="60">
        <f>$D$8-($D$8*0.08)</f>
        <v>193200</v>
      </c>
      <c r="E66" s="60">
        <f t="shared" si="29"/>
        <v>672.90939734893846</v>
      </c>
      <c r="F66" s="60">
        <f t="shared" si="30"/>
        <v>1418.4927306822719</v>
      </c>
      <c r="G66" s="61">
        <f t="shared" si="31"/>
        <v>356.50726931772806</v>
      </c>
    </row>
    <row r="67" spans="4:7" ht="16">
      <c r="D67" s="60">
        <f>$D$8-($D$8*0.09)</f>
        <v>191100</v>
      </c>
      <c r="E67" s="60">
        <f t="shared" si="29"/>
        <v>665.59516476905867</v>
      </c>
      <c r="F67" s="60">
        <f t="shared" si="30"/>
        <v>1411.178498102392</v>
      </c>
      <c r="G67" s="61">
        <f t="shared" si="31"/>
        <v>363.82150189760796</v>
      </c>
    </row>
    <row r="68" spans="4:7" ht="16">
      <c r="D68" s="60">
        <f>$D$8-($D$8*0.1)</f>
        <v>189000</v>
      </c>
      <c r="E68" s="60">
        <f t="shared" si="29"/>
        <v>658.28093218917888</v>
      </c>
      <c r="F68" s="60">
        <f t="shared" si="30"/>
        <v>1403.8642655225121</v>
      </c>
      <c r="G68" s="61">
        <f t="shared" si="31"/>
        <v>371.13573447748786</v>
      </c>
    </row>
    <row r="69" spans="4:7" ht="16">
      <c r="D69" s="60">
        <f>$D$8-($D$8*0.11)</f>
        <v>186900</v>
      </c>
      <c r="E69" s="60">
        <f t="shared" si="29"/>
        <v>650.9666996092991</v>
      </c>
      <c r="F69" s="60">
        <f t="shared" si="30"/>
        <v>1396.5500329426325</v>
      </c>
      <c r="G69" s="61">
        <f t="shared" si="31"/>
        <v>378.44996705736753</v>
      </c>
    </row>
    <row r="70" spans="4:7" ht="16">
      <c r="D70" s="60">
        <f>$D$8-($D$8*0.12)</f>
        <v>184800</v>
      </c>
      <c r="E70" s="60">
        <f t="shared" si="29"/>
        <v>643.65246702941943</v>
      </c>
      <c r="F70" s="60">
        <f t="shared" si="30"/>
        <v>1389.2358003627528</v>
      </c>
      <c r="G70" s="61">
        <f t="shared" si="31"/>
        <v>385.7641996372472</v>
      </c>
    </row>
  </sheetData>
  <mergeCells count="45">
    <mergeCell ref="B42:G42"/>
    <mergeCell ref="B44:G44"/>
    <mergeCell ref="B56:G56"/>
    <mergeCell ref="B7:G7"/>
    <mergeCell ref="B18:G18"/>
    <mergeCell ref="B20:G20"/>
    <mergeCell ref="B24:G24"/>
    <mergeCell ref="B26:G26"/>
    <mergeCell ref="L26:N26"/>
    <mergeCell ref="L27:N27"/>
    <mergeCell ref="I1:J1"/>
    <mergeCell ref="L4:N4"/>
    <mergeCell ref="L5:N5"/>
    <mergeCell ref="L1:V1"/>
    <mergeCell ref="L20:N20"/>
    <mergeCell ref="L22:N22"/>
    <mergeCell ref="L24:N24"/>
    <mergeCell ref="L25:N25"/>
    <mergeCell ref="L19:N19"/>
    <mergeCell ref="L14:N14"/>
    <mergeCell ref="L15:N15"/>
    <mergeCell ref="L16:N16"/>
    <mergeCell ref="L17:N17"/>
    <mergeCell ref="L18:N18"/>
    <mergeCell ref="L9:N9"/>
    <mergeCell ref="L10:N10"/>
    <mergeCell ref="L8:N8"/>
    <mergeCell ref="L13:O13"/>
    <mergeCell ref="L11:N11"/>
    <mergeCell ref="L45:N45"/>
    <mergeCell ref="D58:G58"/>
    <mergeCell ref="L21:N21"/>
    <mergeCell ref="L23:N23"/>
    <mergeCell ref="L36:N36"/>
    <mergeCell ref="L37:N37"/>
    <mergeCell ref="L38:N38"/>
    <mergeCell ref="L39:N39"/>
    <mergeCell ref="L40:N40"/>
    <mergeCell ref="L44:N44"/>
    <mergeCell ref="L28:N28"/>
    <mergeCell ref="L29:N29"/>
    <mergeCell ref="L32:O32"/>
    <mergeCell ref="L31:N31"/>
    <mergeCell ref="L34:N34"/>
    <mergeCell ref="L35:N35"/>
  </mergeCells>
  <conditionalFormatting sqref="G60">
    <cfRule type="cellIs" dxfId="12" priority="21" operator="greaterThanOrEqual">
      <formula>O24*200</formula>
    </cfRule>
  </conditionalFormatting>
  <conditionalFormatting sqref="G60">
    <cfRule type="cellIs" dxfId="11" priority="22" operator="lessThan">
      <formula>O24*200</formula>
    </cfRule>
  </conditionalFormatting>
  <conditionalFormatting sqref="G60">
    <cfRule type="cellIs" dxfId="10" priority="33" operator="lessThan">
      <formula>200</formula>
    </cfRule>
  </conditionalFormatting>
  <conditionalFormatting sqref="G61:G70">
    <cfRule type="cellIs" dxfId="9" priority="8" operator="greaterThanOrEqual">
      <formula>O25*200</formula>
    </cfRule>
  </conditionalFormatting>
  <conditionalFormatting sqref="G61:G70">
    <cfRule type="cellIs" dxfId="8" priority="9" operator="lessThan">
      <formula>O25*200</formula>
    </cfRule>
  </conditionalFormatting>
  <conditionalFormatting sqref="G61:G70">
    <cfRule type="cellIs" dxfId="7" priority="10" operator="lessThan">
      <formula>200</formula>
    </cfRule>
  </conditionalFormatting>
  <conditionalFormatting sqref="G60:G70">
    <cfRule type="cellIs" dxfId="6" priority="4" operator="greaterThan">
      <formula>200</formula>
    </cfRule>
    <cfRule type="cellIs" dxfId="5" priority="5" operator="lessThan">
      <formula>200</formula>
    </cfRule>
    <cfRule type="cellIs" dxfId="4" priority="6" operator="lessThan">
      <formula>400</formula>
    </cfRule>
    <cfRule type="cellIs" dxfId="3" priority="7" operator="greaterThan">
      <formula>400</formula>
    </cfRule>
  </conditionalFormatting>
  <conditionalFormatting sqref="D53">
    <cfRule type="cellIs" dxfId="2" priority="2" operator="greaterThan">
      <formula>10</formula>
    </cfRule>
    <cfRule type="cellIs" dxfId="1" priority="3" operator="greaterThan">
      <formula>10</formula>
    </cfRule>
  </conditionalFormatting>
  <conditionalFormatting sqref="D50">
    <cfRule type="cellIs" dxfId="0" priority="1" operator="greaterThan">
      <formula>10</formula>
    </cfRule>
  </conditionalFormatting>
  <pageMargins left="0.7" right="0.7" top="0.75" bottom="0.75" header="0.3" footer="0.3"/>
  <pageSetup orientation="portrait" horizontalDpi="0" verticalDpi="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EFE9D-F3E0-234B-93D7-BAC2A48AAB5B}">
  <sheetPr>
    <tabColor rgb="FFCCFFCC"/>
  </sheetPr>
  <dimension ref="A1:BB367"/>
  <sheetViews>
    <sheetView tabSelected="1" workbookViewId="0">
      <selection activeCell="E12" sqref="E12"/>
    </sheetView>
  </sheetViews>
  <sheetFormatPr baseColWidth="10" defaultRowHeight="16"/>
  <cols>
    <col min="1" max="1" width="3.1640625" style="202" customWidth="1"/>
    <col min="2" max="2" width="48.1640625" customWidth="1"/>
    <col min="3" max="3" width="20.83203125" customWidth="1"/>
    <col min="4" max="4" width="3.1640625" customWidth="1"/>
    <col min="5" max="5" width="54" customWidth="1"/>
    <col min="6" max="6" width="19.6640625" customWidth="1"/>
    <col min="7" max="9" width="10.83203125" style="202"/>
    <col min="10" max="10" width="27.6640625" style="202" customWidth="1"/>
    <col min="11" max="13" width="10.83203125" style="202"/>
    <col min="14" max="14" width="14.33203125" style="202" bestFit="1" customWidth="1"/>
    <col min="15" max="54" width="10.83203125" style="202"/>
  </cols>
  <sheetData>
    <row r="1" spans="2:15">
      <c r="B1" s="202"/>
      <c r="C1" s="202"/>
      <c r="D1" s="202"/>
      <c r="E1" s="202"/>
      <c r="F1" s="202"/>
    </row>
    <row r="2" spans="2:15" ht="51" customHeight="1">
      <c r="B2" s="265" t="str">
        <f>'Rental Property Analysis'!B1</f>
        <v>Rental Property Analysis ______</v>
      </c>
      <c r="C2" s="266"/>
      <c r="D2" s="266"/>
      <c r="E2" s="266"/>
      <c r="F2" s="267"/>
      <c r="G2" s="187"/>
      <c r="H2" s="187"/>
      <c r="I2" s="187"/>
      <c r="J2" s="187"/>
      <c r="K2" s="187"/>
      <c r="L2" s="187"/>
      <c r="M2" s="187"/>
      <c r="N2" s="203"/>
      <c r="O2" s="187"/>
    </row>
    <row r="3" spans="2:15" ht="16" customHeight="1">
      <c r="B3" s="210" t="s">
        <v>125</v>
      </c>
      <c r="C3" s="211">
        <f ca="1">TODAY()</f>
        <v>44223</v>
      </c>
      <c r="D3" s="187"/>
      <c r="E3" s="187"/>
      <c r="F3" s="195"/>
      <c r="G3" s="185"/>
      <c r="H3" s="185"/>
      <c r="I3" s="187"/>
      <c r="J3" s="185"/>
      <c r="K3" s="185"/>
      <c r="L3" s="187"/>
      <c r="M3" s="204"/>
      <c r="N3" s="204"/>
      <c r="O3" s="187"/>
    </row>
    <row r="4" spans="2:15" ht="16" customHeight="1">
      <c r="B4" s="199"/>
      <c r="C4" s="200"/>
      <c r="D4" s="193"/>
      <c r="E4" s="193"/>
      <c r="F4" s="201"/>
      <c r="G4" s="185"/>
      <c r="H4" s="185"/>
      <c r="I4" s="187"/>
      <c r="J4" s="185"/>
      <c r="K4" s="185"/>
      <c r="L4" s="187"/>
      <c r="M4" s="204"/>
      <c r="N4" s="204"/>
      <c r="O4" s="187"/>
    </row>
    <row r="5" spans="2:15" ht="23">
      <c r="B5" s="269" t="s">
        <v>127</v>
      </c>
      <c r="C5" s="269"/>
      <c r="D5" s="269"/>
      <c r="E5" s="269"/>
      <c r="F5" s="269"/>
      <c r="G5" s="185"/>
      <c r="H5" s="185"/>
      <c r="I5" s="185"/>
      <c r="J5" s="185"/>
      <c r="K5" s="185"/>
      <c r="L5" s="204"/>
      <c r="M5" s="204"/>
      <c r="N5" s="204"/>
      <c r="O5" s="187"/>
    </row>
    <row r="6" spans="2:15" ht="20">
      <c r="B6" s="147" t="s">
        <v>100</v>
      </c>
      <c r="C6" s="146">
        <f>'Rental Property Analysis'!D11</f>
        <v>168000</v>
      </c>
      <c r="D6" s="183"/>
      <c r="E6" s="147" t="s">
        <v>116</v>
      </c>
      <c r="F6" s="149">
        <f>'Rental Property Analysis'!D50</f>
        <v>5.8823809523809521E-2</v>
      </c>
      <c r="G6" s="190"/>
      <c r="J6" s="190"/>
      <c r="K6" s="190"/>
      <c r="L6" s="187"/>
      <c r="M6" s="190"/>
      <c r="N6" s="190"/>
      <c r="O6" s="187"/>
    </row>
    <row r="7" spans="2:15" ht="20">
      <c r="B7" s="147" t="s">
        <v>101</v>
      </c>
      <c r="C7" s="146">
        <f>'Rental Property Analysis'!D9</f>
        <v>42000</v>
      </c>
      <c r="D7" s="184"/>
      <c r="E7" s="147" t="s">
        <v>118</v>
      </c>
      <c r="F7" s="149">
        <f>'Rental Property Analysis'!D53</f>
        <v>7.4526910511495223E-2</v>
      </c>
      <c r="G7" s="185"/>
      <c r="J7" s="204"/>
      <c r="K7" s="204"/>
      <c r="L7" s="187"/>
      <c r="M7" s="205"/>
      <c r="N7" s="205"/>
      <c r="O7" s="187"/>
    </row>
    <row r="8" spans="2:15" ht="20">
      <c r="B8" s="147" t="s">
        <v>103</v>
      </c>
      <c r="C8" s="146">
        <f>'Rental Property Analysis'!D49</f>
        <v>48300</v>
      </c>
      <c r="D8" s="184"/>
      <c r="E8" s="147" t="s">
        <v>121</v>
      </c>
      <c r="F8" s="149">
        <f>'Rental Property Analysis'!D48</f>
        <v>7.4526910511495223E-2</v>
      </c>
      <c r="G8" s="185"/>
      <c r="J8" s="204"/>
      <c r="K8" s="204"/>
      <c r="L8" s="205"/>
      <c r="M8" s="205"/>
      <c r="N8" s="205"/>
      <c r="O8" s="187"/>
    </row>
    <row r="9" spans="2:15" ht="16" customHeight="1">
      <c r="B9" s="196"/>
      <c r="C9" s="197"/>
      <c r="D9" s="185"/>
      <c r="E9" s="197"/>
      <c r="F9" s="198"/>
      <c r="G9" s="190"/>
      <c r="H9" s="190"/>
      <c r="I9" s="187"/>
      <c r="J9" s="190"/>
      <c r="K9" s="190"/>
      <c r="L9" s="187"/>
      <c r="M9" s="190"/>
      <c r="N9" s="190"/>
      <c r="O9" s="187"/>
    </row>
    <row r="10" spans="2:15" ht="20">
      <c r="B10" s="147" t="s">
        <v>99</v>
      </c>
      <c r="C10" s="146">
        <f>'Rental Property Analysis'!E25</f>
        <v>1775</v>
      </c>
      <c r="D10" s="184"/>
      <c r="E10" s="147" t="s">
        <v>115</v>
      </c>
      <c r="F10" s="146">
        <f>'Rental Property Analysis'!F46</f>
        <v>12353</v>
      </c>
      <c r="G10" s="185"/>
      <c r="H10" s="185"/>
      <c r="I10" s="187"/>
      <c r="J10" s="204"/>
      <c r="K10" s="204"/>
      <c r="L10" s="187"/>
      <c r="M10" s="204"/>
      <c r="N10" s="204"/>
      <c r="O10" s="187"/>
    </row>
    <row r="11" spans="2:15" ht="20">
      <c r="B11" s="147" t="s">
        <v>117</v>
      </c>
      <c r="C11" s="146">
        <f>'Rental Property Analysis'!E43-'Rental Property Analysis'!E47</f>
        <v>1475.0291851912318</v>
      </c>
      <c r="D11" s="186"/>
      <c r="E11" s="147" t="s">
        <v>119</v>
      </c>
      <c r="F11" s="148">
        <f>'Rental Property Analysis'!D52</f>
        <v>3361.8691655363114</v>
      </c>
      <c r="G11" s="185"/>
      <c r="H11" s="185"/>
      <c r="I11" s="204"/>
      <c r="J11" s="204"/>
      <c r="K11" s="204"/>
      <c r="L11" s="204"/>
      <c r="M11" s="204"/>
      <c r="N11" s="204"/>
      <c r="O11" s="187"/>
    </row>
    <row r="12" spans="2:15" ht="20">
      <c r="B12" s="147" t="s">
        <v>102</v>
      </c>
      <c r="C12" s="146">
        <f>C10-C11</f>
        <v>299.97081480876818</v>
      </c>
      <c r="D12" s="186"/>
      <c r="E12" s="147" t="s">
        <v>120</v>
      </c>
      <c r="F12" s="150">
        <f>'Rental Property Analysis'!D51</f>
        <v>13.417972020264513</v>
      </c>
      <c r="G12" s="190"/>
      <c r="H12" s="190"/>
      <c r="I12" s="187"/>
      <c r="J12" s="190"/>
      <c r="K12" s="190"/>
      <c r="L12" s="187"/>
      <c r="M12" s="190"/>
      <c r="N12" s="190"/>
      <c r="O12" s="187"/>
    </row>
    <row r="13" spans="2:15">
      <c r="B13" s="194"/>
      <c r="C13" s="187"/>
      <c r="D13" s="187"/>
      <c r="E13" s="187"/>
      <c r="F13" s="195"/>
      <c r="G13" s="187"/>
      <c r="H13" s="187"/>
      <c r="I13" s="187"/>
      <c r="J13" s="187"/>
      <c r="K13" s="187"/>
      <c r="L13" s="187"/>
      <c r="M13" s="187"/>
      <c r="N13" s="206"/>
      <c r="O13" s="187"/>
    </row>
    <row r="14" spans="2:15" ht="25">
      <c r="B14" s="245" t="s">
        <v>0</v>
      </c>
      <c r="C14" s="245"/>
      <c r="D14" s="187"/>
      <c r="E14" s="174"/>
      <c r="F14" s="175"/>
    </row>
    <row r="15" spans="2:15" ht="18">
      <c r="B15" s="151" t="str">
        <f>'Rental Property Analysis'!I3</f>
        <v>Property Address:</v>
      </c>
      <c r="C15" s="156" t="str">
        <f>'Rental Property Analysis'!J3</f>
        <v>Allentown</v>
      </c>
      <c r="D15" s="188"/>
      <c r="E15" s="176"/>
      <c r="F15" s="164"/>
    </row>
    <row r="16" spans="2:15" ht="19">
      <c r="B16" s="151" t="str">
        <f>'Rental Property Analysis'!I4</f>
        <v>Type of Property:</v>
      </c>
      <c r="C16" s="156" t="str">
        <f>'Rental Property Analysis'!J4</f>
        <v>Single-Family</v>
      </c>
      <c r="D16" s="189"/>
      <c r="E16" s="172"/>
      <c r="F16" s="165"/>
      <c r="G16" s="207"/>
    </row>
    <row r="17" spans="2:7" ht="19">
      <c r="B17" s="151" t="str">
        <f>'Rental Property Analysis'!I5</f>
        <v>Bedrooms:</v>
      </c>
      <c r="C17" s="156">
        <f>'Rental Property Analysis'!J5</f>
        <v>3</v>
      </c>
      <c r="D17" s="190"/>
      <c r="E17" s="162"/>
      <c r="F17" s="163"/>
      <c r="G17" s="207"/>
    </row>
    <row r="18" spans="2:7" ht="19">
      <c r="B18" s="151" t="str">
        <f>'Rental Property Analysis'!I6</f>
        <v>Bathrooms:</v>
      </c>
      <c r="C18" s="156">
        <f>'Rental Property Analysis'!J6</f>
        <v>2</v>
      </c>
      <c r="D18" s="190"/>
      <c r="E18" s="162"/>
      <c r="F18" s="163"/>
      <c r="G18" s="207"/>
    </row>
    <row r="19" spans="2:7" ht="19">
      <c r="B19" s="151" t="str">
        <f>'Rental Property Analysis'!I7</f>
        <v>Sq. Feet:</v>
      </c>
      <c r="C19" s="156">
        <f>'Rental Property Analysis'!J7</f>
        <v>2000</v>
      </c>
      <c r="D19" s="190"/>
      <c r="E19" s="162"/>
      <c r="F19" s="163"/>
      <c r="G19" s="207"/>
    </row>
    <row r="20" spans="2:7" ht="19">
      <c r="B20" s="151" t="str">
        <f>'Rental Property Analysis'!I8</f>
        <v>Year Built:</v>
      </c>
      <c r="C20" s="156">
        <f>'Rental Property Analysis'!J8</f>
        <v>1950</v>
      </c>
      <c r="D20" s="190"/>
      <c r="E20" s="162"/>
      <c r="F20" s="163"/>
      <c r="G20" s="207"/>
    </row>
    <row r="21" spans="2:7" ht="19">
      <c r="B21" s="151" t="str">
        <f>'Rental Property Analysis'!I9</f>
        <v>Additional Info:</v>
      </c>
      <c r="C21" s="156" t="str">
        <f>'Rental Property Analysis'!J9</f>
        <v>Nice Place</v>
      </c>
      <c r="D21" s="190"/>
      <c r="E21" s="172"/>
      <c r="F21" s="165"/>
      <c r="G21" s="207"/>
    </row>
    <row r="22" spans="2:7" ht="19">
      <c r="B22" s="151" t="str">
        <f>'Rental Property Analysis'!I16</f>
        <v>Photo:</v>
      </c>
      <c r="C22" s="156"/>
      <c r="D22" s="190"/>
      <c r="E22" s="172"/>
      <c r="F22" s="165"/>
      <c r="G22" s="207"/>
    </row>
    <row r="23" spans="2:7" ht="19">
      <c r="B23" s="194"/>
      <c r="C23" s="187"/>
      <c r="D23" s="189"/>
      <c r="E23" s="162"/>
      <c r="F23" s="166"/>
      <c r="G23" s="207"/>
    </row>
    <row r="24" spans="2:7" ht="23">
      <c r="B24" s="268" t="s">
        <v>126</v>
      </c>
      <c r="C24" s="268"/>
      <c r="D24" s="189"/>
      <c r="E24" s="162"/>
      <c r="F24" s="166"/>
      <c r="G24" s="207"/>
    </row>
    <row r="25" spans="2:7" ht="19">
      <c r="B25" s="151" t="s">
        <v>104</v>
      </c>
      <c r="C25" s="152">
        <f>'Rental Property Analysis'!D8</f>
        <v>210000</v>
      </c>
      <c r="D25" s="189"/>
      <c r="E25" s="162"/>
      <c r="F25" s="166"/>
      <c r="G25" s="207"/>
    </row>
    <row r="26" spans="2:7" ht="19">
      <c r="B26" s="151" t="s">
        <v>105</v>
      </c>
      <c r="C26" s="152">
        <f>'Rental Property Analysis'!D12</f>
        <v>6300</v>
      </c>
      <c r="D26" s="189"/>
      <c r="E26" s="162"/>
      <c r="F26" s="166"/>
      <c r="G26" s="207"/>
    </row>
    <row r="27" spans="2:7" ht="19">
      <c r="B27" s="151" t="s">
        <v>106</v>
      </c>
      <c r="C27" s="152">
        <f>'Rental Property Analysis'!D17</f>
        <v>0</v>
      </c>
      <c r="D27" s="189"/>
      <c r="E27" s="162"/>
      <c r="F27" s="166"/>
      <c r="G27" s="207"/>
    </row>
    <row r="28" spans="2:7" ht="19">
      <c r="B28" s="153" t="s">
        <v>107</v>
      </c>
      <c r="C28" s="154">
        <f>SUM(C25:C27)</f>
        <v>216300</v>
      </c>
      <c r="D28" s="189"/>
      <c r="E28" s="172"/>
      <c r="F28" s="165"/>
      <c r="G28" s="207"/>
    </row>
    <row r="29" spans="2:7" ht="19">
      <c r="B29" s="194"/>
      <c r="C29" s="187"/>
      <c r="D29" s="189"/>
      <c r="E29" s="172"/>
      <c r="F29" s="167"/>
      <c r="G29" s="207"/>
    </row>
    <row r="30" spans="2:7" ht="23">
      <c r="B30" s="268" t="s">
        <v>128</v>
      </c>
      <c r="C30" s="268"/>
      <c r="D30" s="189"/>
      <c r="E30" s="172"/>
      <c r="F30" s="163"/>
      <c r="G30" s="207"/>
    </row>
    <row r="31" spans="2:7" ht="19">
      <c r="B31" s="151" t="s">
        <v>108</v>
      </c>
      <c r="C31" s="155">
        <f>'Rental Property Analysis'!D9</f>
        <v>42000</v>
      </c>
      <c r="D31" s="191"/>
      <c r="E31" s="162"/>
      <c r="F31" s="166"/>
      <c r="G31" s="207"/>
    </row>
    <row r="32" spans="2:7" ht="19">
      <c r="B32" s="151" t="s">
        <v>109</v>
      </c>
      <c r="C32" s="155">
        <f>'Rental Property Analysis'!D11</f>
        <v>168000</v>
      </c>
      <c r="D32" s="191"/>
      <c r="E32" s="162"/>
      <c r="F32" s="166"/>
      <c r="G32" s="207"/>
    </row>
    <row r="33" spans="2:11" ht="19">
      <c r="B33" s="151" t="s">
        <v>110</v>
      </c>
      <c r="C33" s="155">
        <f>'Rental Property Analysis'!D15</f>
        <v>0</v>
      </c>
      <c r="D33" s="191"/>
      <c r="E33" s="162"/>
      <c r="F33" s="166"/>
      <c r="G33" s="207"/>
    </row>
    <row r="34" spans="2:11" ht="19">
      <c r="B34" s="151" t="s">
        <v>111</v>
      </c>
      <c r="C34" s="156" t="str">
        <f>'Rental Property Analysis'!D16 &amp; " years"</f>
        <v>30 years</v>
      </c>
      <c r="D34" s="191"/>
      <c r="E34" s="177"/>
      <c r="F34" s="167"/>
      <c r="G34" s="207"/>
    </row>
    <row r="35" spans="2:11" ht="19">
      <c r="B35" s="151" t="s">
        <v>112</v>
      </c>
      <c r="C35" s="157">
        <f>'Rental Property Analysis'!D13</f>
        <v>3.2530000000000003E-2</v>
      </c>
      <c r="D35" s="191"/>
      <c r="E35" s="162"/>
      <c r="F35" s="166"/>
      <c r="G35" s="207"/>
    </row>
    <row r="36" spans="2:11" ht="19">
      <c r="B36" s="194"/>
      <c r="C36" s="189"/>
      <c r="D36" s="191"/>
      <c r="E36" s="162"/>
      <c r="F36" s="166"/>
      <c r="G36" s="207"/>
    </row>
    <row r="37" spans="2:11" ht="23">
      <c r="B37" s="161" t="s">
        <v>129</v>
      </c>
      <c r="C37" s="161"/>
      <c r="D37" s="191"/>
      <c r="E37" s="162"/>
      <c r="F37" s="166"/>
      <c r="G37" s="207"/>
    </row>
    <row r="38" spans="2:11" ht="19">
      <c r="B38" s="151" t="s">
        <v>80</v>
      </c>
      <c r="C38" s="158">
        <f>'Rental Property Analysis'!E11</f>
        <v>729.44585185789845</v>
      </c>
      <c r="D38" s="191"/>
      <c r="E38" s="162"/>
      <c r="F38" s="166"/>
      <c r="G38" s="207"/>
    </row>
    <row r="39" spans="2:11" ht="19">
      <c r="B39" s="151" t="s">
        <v>64</v>
      </c>
      <c r="C39" s="159">
        <f>'Rental Property Analysis'!E14</f>
        <v>0</v>
      </c>
      <c r="D39" s="191"/>
      <c r="E39" s="162"/>
      <c r="F39" s="166"/>
      <c r="G39" s="207"/>
      <c r="J39" s="208"/>
      <c r="K39" s="209"/>
    </row>
    <row r="40" spans="2:11" ht="19">
      <c r="B40" s="151" t="s">
        <v>113</v>
      </c>
      <c r="C40" s="159">
        <f>'Rental Property Analysis'!E28</f>
        <v>333.33333333333331</v>
      </c>
      <c r="D40" s="191"/>
      <c r="E40" s="172"/>
      <c r="F40" s="168"/>
      <c r="G40" s="207"/>
    </row>
    <row r="41" spans="2:11" ht="19">
      <c r="B41" s="151" t="s">
        <v>11</v>
      </c>
      <c r="C41" s="159">
        <f>'Rental Property Analysis'!E29</f>
        <v>75</v>
      </c>
      <c r="D41" s="191"/>
      <c r="E41" s="178"/>
      <c r="F41" s="166"/>
      <c r="G41" s="207"/>
    </row>
    <row r="42" spans="2:11" ht="19">
      <c r="B42" s="151" t="s">
        <v>9</v>
      </c>
      <c r="C42" s="159">
        <f>'Rental Property Analysis'!E30</f>
        <v>0</v>
      </c>
      <c r="D42" s="191"/>
      <c r="E42" s="162"/>
      <c r="F42" s="166"/>
      <c r="G42" s="207"/>
    </row>
    <row r="43" spans="2:11" ht="19">
      <c r="B43" s="151" t="s">
        <v>46</v>
      </c>
      <c r="C43" s="159">
        <f>'Rental Property Analysis'!E31</f>
        <v>0</v>
      </c>
      <c r="D43" s="189"/>
      <c r="E43" s="179"/>
      <c r="F43" s="169"/>
      <c r="G43" s="207"/>
    </row>
    <row r="44" spans="2:11" ht="19">
      <c r="B44" s="151" t="s">
        <v>123</v>
      </c>
      <c r="C44" s="159">
        <f>'Rental Property Analysis'!E32</f>
        <v>0</v>
      </c>
      <c r="D44" s="190"/>
      <c r="E44" s="180"/>
      <c r="F44" s="170"/>
      <c r="G44" s="207"/>
    </row>
    <row r="45" spans="2:11" ht="19">
      <c r="B45" s="151" t="s">
        <v>45</v>
      </c>
      <c r="C45" s="159">
        <f>'Rental Property Analysis'!E33</f>
        <v>0</v>
      </c>
      <c r="D45" s="191"/>
      <c r="E45" s="172"/>
      <c r="F45" s="165"/>
      <c r="G45" s="207"/>
    </row>
    <row r="46" spans="2:11" ht="19">
      <c r="B46" s="151" t="s">
        <v>48</v>
      </c>
      <c r="C46" s="159">
        <f>'Rental Property Analysis'!E34</f>
        <v>0</v>
      </c>
      <c r="D46" s="191"/>
      <c r="E46" s="162"/>
      <c r="F46" s="163"/>
      <c r="G46" s="207"/>
    </row>
    <row r="47" spans="2:11" ht="19">
      <c r="B47" s="151" t="s">
        <v>124</v>
      </c>
      <c r="C47" s="159">
        <f>'Rental Property Analysis'!E35</f>
        <v>0</v>
      </c>
      <c r="D47" s="192"/>
      <c r="E47" s="181"/>
      <c r="F47" s="171"/>
      <c r="G47" s="207"/>
    </row>
    <row r="48" spans="2:11" ht="18">
      <c r="B48" s="151" t="s">
        <v>47</v>
      </c>
      <c r="C48" s="159">
        <f>'Rental Property Analysis'!E36</f>
        <v>0</v>
      </c>
      <c r="D48" s="187"/>
      <c r="E48" s="162"/>
      <c r="F48" s="163"/>
    </row>
    <row r="49" spans="2:6" ht="18">
      <c r="B49" s="151" t="s">
        <v>49</v>
      </c>
      <c r="C49" s="159">
        <f>'Rental Property Analysis'!E37</f>
        <v>0</v>
      </c>
      <c r="D49" s="187"/>
      <c r="E49" s="162"/>
      <c r="F49" s="163"/>
    </row>
    <row r="50" spans="2:6" ht="18">
      <c r="B50" s="151" t="s">
        <v>43</v>
      </c>
      <c r="C50" s="159">
        <f>'Rental Property Analysis'!E38</f>
        <v>124.25000000000001</v>
      </c>
      <c r="D50" s="187"/>
      <c r="E50" s="162"/>
      <c r="F50" s="163"/>
    </row>
    <row r="51" spans="2:6" ht="18">
      <c r="B51" s="151" t="s">
        <v>44</v>
      </c>
      <c r="C51" s="159">
        <f>'Rental Property Analysis'!E39</f>
        <v>0</v>
      </c>
      <c r="D51" s="187"/>
      <c r="E51" s="162"/>
      <c r="F51" s="163"/>
    </row>
    <row r="52" spans="2:6" ht="18">
      <c r="B52" s="151" t="s">
        <v>42</v>
      </c>
      <c r="C52" s="159">
        <f>'Rental Property Analysis'!E40</f>
        <v>124.25000000000001</v>
      </c>
      <c r="D52" s="187"/>
      <c r="E52" s="162"/>
      <c r="F52" s="163"/>
    </row>
    <row r="53" spans="2:6" ht="18">
      <c r="B53" s="151" t="s">
        <v>8</v>
      </c>
      <c r="C53" s="159">
        <f>'Rental Property Analysis'!E41</f>
        <v>88.75</v>
      </c>
      <c r="D53" s="187"/>
      <c r="E53" s="162"/>
      <c r="F53" s="163"/>
    </row>
    <row r="54" spans="2:6" ht="18">
      <c r="B54" s="153" t="s">
        <v>114</v>
      </c>
      <c r="C54" s="160">
        <f>SUM(C38:C53)</f>
        <v>1475.0291851912318</v>
      </c>
      <c r="D54" s="187"/>
      <c r="E54" s="162"/>
      <c r="F54" s="163"/>
    </row>
    <row r="55" spans="2:6" ht="18">
      <c r="B55" s="217"/>
      <c r="C55" s="189"/>
      <c r="D55" s="187"/>
      <c r="E55" s="162"/>
      <c r="F55" s="163"/>
    </row>
    <row r="56" spans="2:6" ht="23">
      <c r="B56" s="161" t="s">
        <v>29</v>
      </c>
      <c r="C56" s="161"/>
      <c r="D56" s="187"/>
      <c r="E56" s="162"/>
      <c r="F56" s="163"/>
    </row>
    <row r="57" spans="2:6" ht="18">
      <c r="B57" s="151" t="s">
        <v>39</v>
      </c>
      <c r="C57" s="159">
        <f>'Rental Property Analysis'!D21</f>
        <v>1775</v>
      </c>
      <c r="D57" s="187"/>
      <c r="E57" s="162"/>
      <c r="F57" s="163"/>
    </row>
    <row r="58" spans="2:6" ht="18">
      <c r="B58" s="151" t="s">
        <v>40</v>
      </c>
      <c r="C58" s="159">
        <f>'Rental Property Analysis'!D22</f>
        <v>0</v>
      </c>
      <c r="D58" s="187"/>
      <c r="E58" s="162"/>
      <c r="F58" s="163"/>
    </row>
    <row r="59" spans="2:6" ht="18">
      <c r="B59" s="153" t="s">
        <v>99</v>
      </c>
      <c r="C59" s="160">
        <f>SUM(C57:C58)</f>
        <v>1775</v>
      </c>
      <c r="D59" s="193"/>
      <c r="E59" s="182"/>
      <c r="F59" s="173"/>
    </row>
    <row r="60" spans="2:6" s="202" customFormat="1"/>
    <row r="61" spans="2:6" s="202" customFormat="1"/>
    <row r="62" spans="2:6" s="202" customFormat="1"/>
    <row r="63" spans="2:6" s="202" customFormat="1"/>
    <row r="64" spans="2:6" s="202" customFormat="1"/>
    <row r="65" s="202" customFormat="1"/>
    <row r="66" s="202" customFormat="1"/>
    <row r="67" s="202" customFormat="1"/>
    <row r="68" s="202" customFormat="1"/>
    <row r="69" s="202" customFormat="1"/>
    <row r="70" s="202" customFormat="1"/>
    <row r="71" s="202" customFormat="1"/>
    <row r="72" s="202" customFormat="1"/>
    <row r="73" s="202" customFormat="1"/>
    <row r="74" s="202" customFormat="1"/>
    <row r="75" s="202" customFormat="1"/>
    <row r="76" s="202" customFormat="1"/>
    <row r="77" s="202" customFormat="1"/>
    <row r="78" s="202" customFormat="1"/>
    <row r="79" s="202" customFormat="1"/>
    <row r="80" s="202" customFormat="1"/>
    <row r="81" s="202" customFormat="1"/>
    <row r="82" s="202" customFormat="1"/>
    <row r="83" s="202" customFormat="1"/>
    <row r="84" s="202" customFormat="1"/>
    <row r="85" s="202" customFormat="1"/>
    <row r="86" s="202" customFormat="1"/>
    <row r="87" s="202" customFormat="1"/>
    <row r="88" s="202" customFormat="1"/>
    <row r="89" s="202" customFormat="1"/>
    <row r="90" s="202" customFormat="1"/>
    <row r="91" s="202" customFormat="1"/>
    <row r="92" s="202" customFormat="1"/>
    <row r="93" s="202" customFormat="1"/>
    <row r="94" s="202" customFormat="1"/>
    <row r="95" s="202" customFormat="1"/>
    <row r="96" s="202" customFormat="1"/>
    <row r="97" s="202" customFormat="1"/>
    <row r="98" s="202" customFormat="1"/>
    <row r="99" s="202" customFormat="1"/>
    <row r="100" s="202" customFormat="1"/>
    <row r="101" s="202" customFormat="1"/>
    <row r="102" s="202" customFormat="1"/>
    <row r="103" s="202" customFormat="1"/>
    <row r="104" s="202" customFormat="1"/>
    <row r="105" s="202" customFormat="1"/>
    <row r="106" s="202" customFormat="1"/>
    <row r="107" s="202" customFormat="1"/>
    <row r="108" s="202" customFormat="1"/>
    <row r="109" s="202" customFormat="1"/>
    <row r="110" s="202" customFormat="1"/>
    <row r="111" s="202" customFormat="1"/>
    <row r="112" s="202" customFormat="1"/>
    <row r="113" s="202" customFormat="1"/>
    <row r="114" s="202" customFormat="1"/>
    <row r="115" s="202" customFormat="1"/>
    <row r="116" s="202" customFormat="1"/>
    <row r="117" s="202" customFormat="1"/>
    <row r="118" s="202" customFormat="1"/>
    <row r="119" s="202" customFormat="1"/>
    <row r="120" s="202" customFormat="1"/>
    <row r="121" s="202" customFormat="1"/>
    <row r="122" s="202" customFormat="1"/>
    <row r="123" s="202" customFormat="1"/>
    <row r="124" s="202" customFormat="1"/>
    <row r="125" s="202" customFormat="1"/>
    <row r="126" s="202" customFormat="1"/>
    <row r="127" s="202" customFormat="1"/>
    <row r="128" s="202" customFormat="1"/>
    <row r="129" s="202" customFormat="1"/>
    <row r="130" s="202" customFormat="1"/>
    <row r="131" s="202" customFormat="1"/>
    <row r="132" s="202" customFormat="1"/>
    <row r="133" s="202" customFormat="1"/>
    <row r="134" s="202" customFormat="1"/>
    <row r="135" s="202" customFormat="1"/>
    <row r="136" s="202" customFormat="1"/>
    <row r="137" s="202" customFormat="1"/>
    <row r="138" s="202" customFormat="1"/>
    <row r="139" s="202" customFormat="1"/>
    <row r="140" s="202" customFormat="1"/>
    <row r="141" s="202" customFormat="1"/>
    <row r="142" s="202" customFormat="1"/>
    <row r="143" s="202" customFormat="1"/>
    <row r="144" s="202" customFormat="1"/>
    <row r="145" s="202" customFormat="1"/>
    <row r="146" s="202" customFormat="1"/>
    <row r="147" s="202" customFormat="1"/>
    <row r="148" s="202" customFormat="1"/>
    <row r="149" s="202" customFormat="1"/>
    <row r="150" s="202" customFormat="1"/>
    <row r="151" s="202" customFormat="1"/>
    <row r="152" s="202" customFormat="1"/>
    <row r="153" s="202" customFormat="1"/>
    <row r="154" s="202" customFormat="1"/>
    <row r="155" s="202" customFormat="1"/>
    <row r="156" s="202" customFormat="1"/>
    <row r="157" s="202" customFormat="1"/>
    <row r="158" s="202" customFormat="1"/>
    <row r="159" s="202" customFormat="1"/>
    <row r="160" s="202" customFormat="1"/>
    <row r="161" s="202" customFormat="1"/>
    <row r="162" s="202" customFormat="1"/>
    <row r="163" s="202" customFormat="1"/>
    <row r="164" s="202" customFormat="1"/>
    <row r="165" s="202" customFormat="1"/>
    <row r="166" s="202" customFormat="1"/>
    <row r="167" s="202" customFormat="1"/>
    <row r="168" s="202" customFormat="1"/>
    <row r="169" s="202" customFormat="1"/>
    <row r="170" s="202" customFormat="1"/>
    <row r="171" s="202" customFormat="1"/>
    <row r="172" s="202" customFormat="1"/>
    <row r="173" s="202" customFormat="1"/>
    <row r="174" s="202" customFormat="1"/>
    <row r="175" s="202" customFormat="1"/>
    <row r="176" s="202" customFormat="1"/>
    <row r="177" s="202" customFormat="1"/>
    <row r="178" s="202" customFormat="1"/>
    <row r="179" s="202" customFormat="1"/>
    <row r="180" s="202" customFormat="1"/>
    <row r="181" s="202" customFormat="1"/>
    <row r="182" s="202" customFormat="1"/>
    <row r="183" s="202" customFormat="1"/>
    <row r="184" s="202" customFormat="1"/>
    <row r="185" s="202" customFormat="1"/>
    <row r="186" s="202" customFormat="1"/>
    <row r="187" s="202" customFormat="1"/>
    <row r="188" s="202" customFormat="1"/>
    <row r="189" s="202" customFormat="1"/>
    <row r="190" s="202" customFormat="1"/>
    <row r="191" s="202" customFormat="1"/>
    <row r="192" s="202" customFormat="1"/>
    <row r="193" s="202" customFormat="1"/>
    <row r="194" s="202" customFormat="1"/>
    <row r="195" s="202" customFormat="1"/>
    <row r="196" s="202" customFormat="1"/>
    <row r="197" s="202" customFormat="1"/>
    <row r="198" s="202" customFormat="1"/>
    <row r="199" s="202" customFormat="1"/>
    <row r="200" s="202" customFormat="1"/>
    <row r="201" s="202" customFormat="1"/>
    <row r="202" s="202" customFormat="1"/>
    <row r="203" s="202" customFormat="1"/>
    <row r="204" s="202" customFormat="1"/>
    <row r="205" s="202" customFormat="1"/>
    <row r="206" s="202" customFormat="1"/>
    <row r="207" s="202" customFormat="1"/>
    <row r="208" s="202" customFormat="1"/>
    <row r="209" s="202" customFormat="1"/>
    <row r="210" s="202" customFormat="1"/>
    <row r="211" s="202" customFormat="1"/>
    <row r="212" s="202" customFormat="1"/>
    <row r="213" s="202" customFormat="1"/>
    <row r="214" s="202" customFormat="1"/>
    <row r="215" s="202" customFormat="1"/>
    <row r="216" s="202" customFormat="1"/>
    <row r="217" s="202" customFormat="1"/>
    <row r="218" s="202" customFormat="1"/>
    <row r="219" s="202" customFormat="1"/>
    <row r="220" s="202" customFormat="1"/>
    <row r="221" s="202" customFormat="1"/>
    <row r="222" s="202" customFormat="1"/>
    <row r="223" s="202" customFormat="1"/>
    <row r="224" s="202" customFormat="1"/>
    <row r="225" s="202" customFormat="1"/>
    <row r="226" s="202" customFormat="1"/>
    <row r="227" s="202" customFormat="1"/>
    <row r="228" s="202" customFormat="1"/>
    <row r="229" s="202" customFormat="1"/>
    <row r="230" s="202" customFormat="1"/>
    <row r="231" s="202" customFormat="1"/>
    <row r="232" s="202" customFormat="1"/>
    <row r="233" s="202" customFormat="1"/>
    <row r="234" s="202" customFormat="1"/>
    <row r="235" s="202" customFormat="1"/>
    <row r="236" s="202" customFormat="1"/>
    <row r="237" s="202" customFormat="1"/>
    <row r="238" s="202" customFormat="1"/>
    <row r="239" s="202" customFormat="1"/>
    <row r="240" s="202" customFormat="1"/>
    <row r="241" s="202" customFormat="1"/>
    <row r="242" s="202" customFormat="1"/>
    <row r="243" s="202" customFormat="1"/>
    <row r="244" s="202" customFormat="1"/>
    <row r="245" s="202" customFormat="1"/>
    <row r="246" s="202" customFormat="1"/>
    <row r="247" s="202" customFormat="1"/>
    <row r="248" s="202" customFormat="1"/>
    <row r="249" s="202" customFormat="1"/>
    <row r="250" s="202" customFormat="1"/>
    <row r="251" s="202" customFormat="1"/>
    <row r="252" s="202" customFormat="1"/>
    <row r="253" s="202" customFormat="1"/>
    <row r="254" s="202" customFormat="1"/>
    <row r="255" s="202" customFormat="1"/>
    <row r="256" s="202" customFormat="1"/>
    <row r="257" s="202" customFormat="1"/>
    <row r="258" s="202" customFormat="1"/>
    <row r="259" s="202" customFormat="1"/>
    <row r="260" s="202" customFormat="1"/>
    <row r="261" s="202" customFormat="1"/>
    <row r="262" s="202" customFormat="1"/>
    <row r="263" s="202" customFormat="1"/>
    <row r="264" s="202" customFormat="1"/>
    <row r="265" s="202" customFormat="1"/>
    <row r="266" s="202" customFormat="1"/>
    <row r="267" s="202" customFormat="1"/>
    <row r="268" s="202" customFormat="1"/>
    <row r="269" s="202" customFormat="1"/>
    <row r="270" s="202" customFormat="1"/>
    <row r="271" s="202" customFormat="1"/>
    <row r="272" s="202" customFormat="1"/>
    <row r="273" s="202" customFormat="1"/>
    <row r="274" s="202" customFormat="1"/>
    <row r="275" s="202" customFormat="1"/>
    <row r="276" s="202" customFormat="1"/>
    <row r="277" s="202" customFormat="1"/>
    <row r="278" s="202" customFormat="1"/>
    <row r="279" s="202" customFormat="1"/>
    <row r="280" s="202" customFormat="1"/>
    <row r="281" s="202" customFormat="1"/>
    <row r="282" s="202" customFormat="1"/>
    <row r="283" s="202" customFormat="1"/>
    <row r="284" s="202" customFormat="1"/>
    <row r="285" s="202" customFormat="1"/>
    <row r="286" s="202" customFormat="1"/>
    <row r="287" s="202" customFormat="1"/>
    <row r="288" s="202" customFormat="1"/>
    <row r="289" s="202" customFormat="1"/>
    <row r="290" s="202" customFormat="1"/>
    <row r="291" s="202" customFormat="1"/>
    <row r="292" s="202" customFormat="1"/>
    <row r="293" s="202" customFormat="1"/>
    <row r="294" s="202" customFormat="1"/>
    <row r="295" s="202" customFormat="1"/>
    <row r="296" s="202" customFormat="1"/>
    <row r="297" s="202" customFormat="1"/>
    <row r="298" s="202" customFormat="1"/>
    <row r="299" s="202" customFormat="1"/>
    <row r="300" s="202" customFormat="1"/>
    <row r="301" s="202" customFormat="1"/>
    <row r="302" s="202" customFormat="1"/>
    <row r="303" s="202" customFormat="1"/>
    <row r="304" s="202" customFormat="1"/>
    <row r="305" s="202" customFormat="1"/>
    <row r="306" s="202" customFormat="1"/>
    <row r="307" s="202" customFormat="1"/>
    <row r="308" s="202" customFormat="1"/>
    <row r="309" s="202" customFormat="1"/>
    <row r="310" s="202" customFormat="1"/>
    <row r="311" s="202" customFormat="1"/>
    <row r="312" s="202" customFormat="1"/>
    <row r="313" s="202" customFormat="1"/>
    <row r="314" s="202" customFormat="1"/>
    <row r="315" s="202" customFormat="1"/>
    <row r="316" s="202" customFormat="1"/>
    <row r="317" s="202" customFormat="1"/>
    <row r="318" s="202" customFormat="1"/>
    <row r="319" s="202" customFormat="1"/>
    <row r="320" s="202" customFormat="1"/>
    <row r="321" s="202" customFormat="1"/>
    <row r="322" s="202" customFormat="1"/>
    <row r="323" s="202" customFormat="1"/>
    <row r="324" s="202" customFormat="1"/>
    <row r="325" s="202" customFormat="1"/>
    <row r="326" s="202" customFormat="1"/>
    <row r="327" s="202" customFormat="1"/>
    <row r="328" s="202" customFormat="1"/>
    <row r="329" s="202" customFormat="1"/>
    <row r="330" s="202" customFormat="1"/>
    <row r="331" s="202" customFormat="1"/>
    <row r="332" s="202" customFormat="1"/>
    <row r="333" s="202" customFormat="1"/>
    <row r="334" s="202" customFormat="1"/>
    <row r="335" s="202" customFormat="1"/>
    <row r="336" s="202" customFormat="1"/>
    <row r="337" s="202" customFormat="1"/>
    <row r="338" s="202" customFormat="1"/>
    <row r="339" s="202" customFormat="1"/>
    <row r="340" s="202" customFormat="1"/>
    <row r="341" s="202" customFormat="1"/>
    <row r="342" s="202" customFormat="1"/>
    <row r="343" s="202" customFormat="1"/>
    <row r="344" s="202" customFormat="1"/>
    <row r="345" s="202" customFormat="1"/>
    <row r="346" s="202" customFormat="1"/>
    <row r="347" s="202" customFormat="1"/>
    <row r="348" s="202" customFormat="1"/>
    <row r="349" s="202" customFormat="1"/>
    <row r="350" s="202" customFormat="1"/>
    <row r="351" s="202" customFormat="1"/>
    <row r="352" s="202" customFormat="1"/>
    <row r="353" s="202" customFormat="1"/>
    <row r="354" s="202" customFormat="1"/>
    <row r="355" s="202" customFormat="1"/>
    <row r="356" s="202" customFormat="1"/>
    <row r="357" s="202" customFormat="1"/>
    <row r="358" s="202" customFormat="1"/>
    <row r="359" s="202" customFormat="1"/>
    <row r="360" s="202" customFormat="1"/>
    <row r="361" s="202" customFormat="1"/>
    <row r="362" s="202" customFormat="1"/>
    <row r="363" s="202" customFormat="1"/>
    <row r="364" s="202" customFormat="1"/>
    <row r="365" s="202" customFormat="1"/>
    <row r="366" s="202" customFormat="1"/>
    <row r="367" s="202" customFormat="1"/>
  </sheetData>
  <mergeCells count="5">
    <mergeCell ref="B2:F2"/>
    <mergeCell ref="B30:C30"/>
    <mergeCell ref="B14:C14"/>
    <mergeCell ref="B24:C24"/>
    <mergeCell ref="B5:F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Rental Property Analysis</vt:lpstr>
      <vt:lpstr>Printable Property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Phillips</dc:creator>
  <cp:lastModifiedBy>Tim Phillips</cp:lastModifiedBy>
  <dcterms:created xsi:type="dcterms:W3CDTF">2021-01-16T22:58:36Z</dcterms:created>
  <dcterms:modified xsi:type="dcterms:W3CDTF">2021-01-27T15:35:10Z</dcterms:modified>
</cp:coreProperties>
</file>